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Z\Documents\Vijeće 2018-2022\3. sjednica Vijeća\"/>
    </mc:Choice>
  </mc:AlternateContent>
  <bookViews>
    <workbookView xWindow="0" yWindow="0" windowWidth="28800" windowHeight="12135"/>
  </bookViews>
  <sheets>
    <sheet name="Table 1" sheetId="1" r:id="rId1"/>
    <sheet name="Sheet1" sheetId="2" r:id="rId2"/>
  </sheets>
  <definedNames>
    <definedName name="_xlnm._FilterDatabase" localSheetId="1" hidden="1">Sheet1!$C$9:$H$34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1" l="1"/>
  <c r="G52" i="1"/>
  <c r="G51" i="1"/>
  <c r="G50" i="1"/>
  <c r="G46" i="1"/>
  <c r="G42" i="1"/>
  <c r="G36" i="1"/>
  <c r="G33" i="1"/>
  <c r="G32" i="1"/>
  <c r="G27" i="1"/>
  <c r="G23" i="1"/>
  <c r="G14" i="1"/>
  <c r="G20" i="1"/>
  <c r="G15" i="1"/>
  <c r="F52" i="1"/>
  <c r="F21" i="1"/>
  <c r="F20" i="1" s="1"/>
  <c r="F14" i="1" s="1"/>
  <c r="F35" i="1"/>
  <c r="F31" i="1"/>
  <c r="F32" i="1"/>
  <c r="F33" i="1"/>
  <c r="F36" i="1"/>
  <c r="F42" i="1"/>
  <c r="F44" i="1"/>
  <c r="F24" i="1"/>
  <c r="F41" i="1"/>
  <c r="F39" i="1"/>
  <c r="F27" i="1"/>
  <c r="F23" i="1" s="1"/>
  <c r="F43" i="1"/>
  <c r="F46" i="1"/>
  <c r="F48" i="1"/>
  <c r="F47" i="1"/>
  <c r="F30" i="1"/>
  <c r="F28" i="1"/>
  <c r="F16" i="1"/>
  <c r="F15" i="1"/>
  <c r="G12" i="1"/>
  <c r="F12" i="1"/>
  <c r="G10" i="1"/>
  <c r="G5" i="1"/>
  <c r="F5" i="1"/>
  <c r="G4" i="1"/>
  <c r="G3" i="1"/>
  <c r="F3" i="1"/>
  <c r="H40" i="1" l="1"/>
  <c r="I40" i="1"/>
  <c r="H41" i="1"/>
  <c r="E6" i="1"/>
  <c r="E11" i="1"/>
  <c r="E10" i="1" s="1"/>
  <c r="I10" i="1" s="1"/>
  <c r="E36" i="1"/>
  <c r="I21" i="1"/>
  <c r="I22" i="1"/>
  <c r="I24" i="1"/>
  <c r="I25" i="1"/>
  <c r="I26" i="1"/>
  <c r="I28" i="1"/>
  <c r="I29" i="1"/>
  <c r="I30" i="1"/>
  <c r="I31" i="1"/>
  <c r="I34" i="1"/>
  <c r="I35" i="1"/>
  <c r="I37" i="1"/>
  <c r="I38" i="1"/>
  <c r="I39" i="1"/>
  <c r="I43" i="1"/>
  <c r="I45" i="1"/>
  <c r="I47" i="1"/>
  <c r="I48" i="1"/>
  <c r="I49" i="1"/>
  <c r="I50" i="1"/>
  <c r="I4" i="1"/>
  <c r="I6" i="1"/>
  <c r="I7" i="1"/>
  <c r="I8" i="1"/>
  <c r="I11" i="1"/>
  <c r="I3" i="1"/>
  <c r="H80" i="2" l="1"/>
  <c r="H81" i="2"/>
  <c r="H82" i="2"/>
  <c r="H83" i="2"/>
  <c r="H84" i="2"/>
  <c r="H79" i="2"/>
  <c r="F5" i="2"/>
  <c r="H5" i="2" s="1"/>
  <c r="H77" i="2"/>
  <c r="H76" i="2"/>
  <c r="H75" i="2"/>
  <c r="H70" i="2"/>
  <c r="H71" i="2"/>
  <c r="H73" i="2"/>
  <c r="H74" i="2"/>
  <c r="F72" i="2"/>
  <c r="H72" i="2" s="1"/>
  <c r="F68" i="2"/>
  <c r="H68" i="2" s="1"/>
  <c r="F69" i="2"/>
  <c r="H69" i="2" s="1"/>
  <c r="E5" i="1"/>
  <c r="H59" i="2"/>
  <c r="F59" i="2"/>
  <c r="E34" i="2"/>
  <c r="E20" i="2"/>
  <c r="E14" i="2"/>
  <c r="E11" i="2"/>
  <c r="E15" i="2"/>
  <c r="E12" i="2"/>
  <c r="E13" i="2"/>
  <c r="E10" i="2"/>
  <c r="H10" i="2" s="1"/>
  <c r="H3" i="2"/>
  <c r="F4" i="2"/>
  <c r="E4" i="2"/>
  <c r="H4" i="2" s="1"/>
  <c r="F3" i="2"/>
  <c r="E32" i="1"/>
  <c r="H51" i="1"/>
  <c r="E46" i="1"/>
  <c r="E44" i="1"/>
  <c r="I44" i="1" s="1"/>
  <c r="E42" i="1"/>
  <c r="I42" i="1" s="1"/>
  <c r="E33" i="1"/>
  <c r="I33" i="1" s="1"/>
  <c r="I5" i="1" l="1"/>
  <c r="E20" i="1"/>
  <c r="E27" i="1"/>
  <c r="E15" i="1"/>
  <c r="E12" i="1"/>
  <c r="H11" i="1"/>
  <c r="H3" i="1"/>
  <c r="H4" i="1"/>
  <c r="H5" i="1"/>
  <c r="H6" i="1"/>
  <c r="H7" i="1"/>
  <c r="H8" i="1"/>
  <c r="H9" i="1"/>
  <c r="H10" i="1"/>
  <c r="H15" i="1"/>
  <c r="H21" i="1"/>
  <c r="H22" i="1"/>
  <c r="H24" i="1"/>
  <c r="H25" i="1"/>
  <c r="H26" i="1"/>
  <c r="H28" i="1"/>
  <c r="H29" i="1"/>
  <c r="H30" i="1"/>
  <c r="H31" i="1"/>
  <c r="H33" i="1"/>
  <c r="H34" i="1"/>
  <c r="H35" i="1"/>
  <c r="H37" i="1"/>
  <c r="H38" i="1"/>
  <c r="H39" i="1"/>
  <c r="H42" i="1"/>
  <c r="H43" i="1"/>
  <c r="H44" i="1"/>
  <c r="H45" i="1"/>
  <c r="H47" i="1"/>
  <c r="H48" i="1"/>
  <c r="H49" i="1"/>
  <c r="H50" i="1"/>
  <c r="E23" i="1" l="1"/>
  <c r="E14" i="1"/>
  <c r="I15" i="1"/>
  <c r="H20" i="1"/>
  <c r="I20" i="1"/>
  <c r="J4" i="1"/>
  <c r="J6" i="1"/>
  <c r="J8" i="1"/>
  <c r="J10" i="1"/>
  <c r="J12" i="1"/>
  <c r="J7" i="1"/>
  <c r="J9" i="1"/>
  <c r="J11" i="1"/>
  <c r="J3" i="1"/>
  <c r="J5" i="1"/>
  <c r="D36" i="1"/>
  <c r="D46" i="1"/>
  <c r="H46" i="1" l="1"/>
  <c r="I46" i="1"/>
  <c r="E52" i="1"/>
  <c r="H36" i="1"/>
  <c r="I36" i="1"/>
  <c r="D32" i="1"/>
  <c r="D27" i="1"/>
  <c r="D14" i="1"/>
  <c r="H14" i="1" s="1"/>
  <c r="D12" i="1"/>
  <c r="I14" i="1" l="1"/>
  <c r="H12" i="1"/>
  <c r="I12" i="1"/>
  <c r="H27" i="1"/>
  <c r="I27" i="1"/>
  <c r="J40" i="1"/>
  <c r="J18" i="1"/>
  <c r="J22" i="1"/>
  <c r="J26" i="1"/>
  <c r="J30" i="1"/>
  <c r="J36" i="1"/>
  <c r="J43" i="1"/>
  <c r="J47" i="1"/>
  <c r="J51" i="1"/>
  <c r="J16" i="1"/>
  <c r="J21" i="1"/>
  <c r="J25" i="1"/>
  <c r="J29" i="1"/>
  <c r="J33" i="1"/>
  <c r="J37" i="1"/>
  <c r="J42" i="1"/>
  <c r="J46" i="1"/>
  <c r="J50" i="1"/>
  <c r="J32" i="1"/>
  <c r="J15" i="1"/>
  <c r="J20" i="1"/>
  <c r="J24" i="1"/>
  <c r="J28" i="1"/>
  <c r="J34" i="1"/>
  <c r="J38" i="1"/>
  <c r="J45" i="1"/>
  <c r="J49" i="1"/>
  <c r="J14" i="1"/>
  <c r="J19" i="1"/>
  <c r="J23" i="1"/>
  <c r="J27" i="1"/>
  <c r="J31" i="1"/>
  <c r="J35" i="1"/>
  <c r="J39" i="1"/>
  <c r="J44" i="1"/>
  <c r="J48" i="1"/>
  <c r="J52" i="1"/>
  <c r="E53" i="1"/>
  <c r="H32" i="1"/>
  <c r="I32" i="1"/>
  <c r="D23" i="1"/>
  <c r="C30" i="1"/>
  <c r="C24" i="1"/>
  <c r="C27" i="1"/>
  <c r="C33" i="1"/>
  <c r="C36" i="1"/>
  <c r="C46" i="1"/>
  <c r="C14" i="1"/>
  <c r="C12" i="1"/>
  <c r="H23" i="1" l="1"/>
  <c r="I23" i="1"/>
  <c r="D52" i="1"/>
  <c r="C32" i="1"/>
  <c r="C23" i="1"/>
  <c r="C52" i="1"/>
  <c r="I52" i="1" l="1"/>
  <c r="H52" i="1"/>
</calcChain>
</file>

<file path=xl/sharedStrings.xml><?xml version="1.0" encoding="utf-8"?>
<sst xmlns="http://schemas.openxmlformats.org/spreadsheetml/2006/main" count="252" uniqueCount="155">
  <si>
    <t>Promjena</t>
  </si>
  <si>
    <t>Index</t>
  </si>
  <si>
    <t>Struktura</t>
  </si>
  <si>
    <t>Offline komunikacije</t>
  </si>
  <si>
    <t>Online komunikacije</t>
  </si>
  <si>
    <t>DISTRIBUCIJA I PRODAJA VRIJEDNOST</t>
  </si>
  <si>
    <t>INTERNI MARKETING</t>
  </si>
  <si>
    <t>RB</t>
  </si>
  <si>
    <t>PRIHODI PO VRSTAMA</t>
  </si>
  <si>
    <t>Prihodi od boravišne pristojbe</t>
  </si>
  <si>
    <t>Prihodi od turističke članarine</t>
  </si>
  <si>
    <t>Prihodi iz proračuna općine/grada/državnog</t>
  </si>
  <si>
    <t>3.1.</t>
  </si>
  <si>
    <t>za programske aktivnosti</t>
  </si>
  <si>
    <t>3.2.</t>
  </si>
  <si>
    <t>za funkcioniranje turističkog ureda</t>
  </si>
  <si>
    <t>Prihodi od drugih aktivnosti</t>
  </si>
  <si>
    <t>Ostali nespomenuti prihodi</t>
  </si>
  <si>
    <t>SVEUKUPNO PRIHODI</t>
  </si>
  <si>
    <t>RASHODI PO VRSTAMA</t>
  </si>
  <si>
    <t>I.</t>
  </si>
  <si>
    <t>ADMINISTRATIVNI RASHODI</t>
  </si>
  <si>
    <t>Rashodi za radnike</t>
  </si>
  <si>
    <t>Rashodi ureda</t>
  </si>
  <si>
    <t>2.1.</t>
  </si>
  <si>
    <t>Ured</t>
  </si>
  <si>
    <t>2.2.</t>
  </si>
  <si>
    <t>Oprema</t>
  </si>
  <si>
    <t>II.</t>
  </si>
  <si>
    <t>DIZAJN VRIJEDNOSTI</t>
  </si>
  <si>
    <t>1.1.</t>
  </si>
  <si>
    <t>Uređenje mjesta</t>
  </si>
  <si>
    <t>1.2.</t>
  </si>
  <si>
    <t>Ostala oprema</t>
  </si>
  <si>
    <t>Manifestacije</t>
  </si>
  <si>
    <t>Kulturno-zabavne</t>
  </si>
  <si>
    <t>Sportske manifestacije</t>
  </si>
  <si>
    <t>2.3.</t>
  </si>
  <si>
    <t>Ostale manifestacije</t>
  </si>
  <si>
    <t>2.4.</t>
  </si>
  <si>
    <t>III.</t>
  </si>
  <si>
    <t>KOMUNIKACIJA VRIJEDNOSTI</t>
  </si>
  <si>
    <t>Internet oglašavanje</t>
  </si>
  <si>
    <t>Internet stranice i upravljanje Internet stranicama</t>
  </si>
  <si>
    <t>Oglašavanje u promotivnim kampanjama</t>
  </si>
  <si>
    <t>Opće oglašavanje</t>
  </si>
  <si>
    <t>Brošure i ostali tiskani materijali</t>
  </si>
  <si>
    <t>Suveniri i promo materijali</t>
  </si>
  <si>
    <t>IV.</t>
  </si>
  <si>
    <t>Sajmovi</t>
  </si>
  <si>
    <t>V.</t>
  </si>
  <si>
    <t>VI.</t>
  </si>
  <si>
    <t>MARKETINŠKA INFRASTRUKTURA</t>
  </si>
  <si>
    <t>Proizvodnja multimedijalnih materijala</t>
  </si>
  <si>
    <t>Banka fotografija i priprema u izdavaštvu</t>
  </si>
  <si>
    <t>Rad PPS kluba - Hrvatska 365</t>
  </si>
  <si>
    <t>VII.</t>
  </si>
  <si>
    <t>TRANSFER BORAVIŠNE PRISTOJBE OPĆINI/GRADU (30%)</t>
  </si>
  <si>
    <t>VIII.</t>
  </si>
  <si>
    <t>SVEUKUPNO RASHODI</t>
  </si>
  <si>
    <t>PRIJENOS VIŠKA U IDUĆU GODINU - POKRIVANJE MANJKA U IDUĆUJ GODINI (SVEUKUPNI PRIHODI UMANJENI ZA SVEUKUPNE RASHODE)</t>
  </si>
  <si>
    <t>Potpore manifestacijama (suorganizacija s drugim subjektima te
donacije drugima za manifestacije)</t>
  </si>
  <si>
    <t>1.</t>
  </si>
  <si>
    <t>PLAN 2018</t>
  </si>
  <si>
    <t>2.</t>
  </si>
  <si>
    <t>3.</t>
  </si>
  <si>
    <t>PLAN 2017</t>
  </si>
  <si>
    <t>Akcije čišćenja okoliša (Zelena i Plava čistka)</t>
  </si>
  <si>
    <t>I. izmjene i dopune</t>
  </si>
  <si>
    <t>4.</t>
  </si>
  <si>
    <t>5.</t>
  </si>
  <si>
    <t>6.</t>
  </si>
  <si>
    <t>6.1.</t>
  </si>
  <si>
    <t>Prihodi od donacija fizičkih osoba i trgovačkih društava</t>
  </si>
  <si>
    <t xml:space="preserve">Prijenos prihoda prethodne godine </t>
  </si>
  <si>
    <t>Plaće radnika</t>
  </si>
  <si>
    <t>Stručno usavršavanje radnika</t>
  </si>
  <si>
    <t>Rad posredstvom student servisa</t>
  </si>
  <si>
    <t>Plaća i doprinosi iz plaće</t>
  </si>
  <si>
    <t>troškovi do kraja godine</t>
  </si>
  <si>
    <t>plaća za 10 i 12 mjesec</t>
  </si>
  <si>
    <t>Doprinosi na plaću</t>
  </si>
  <si>
    <t>planirani troškovi</t>
  </si>
  <si>
    <t>stručno usavršavanje radnika</t>
  </si>
  <si>
    <t>Naknada za rad posredstvom student servisa</t>
  </si>
  <si>
    <t>Honorari za KZM</t>
  </si>
  <si>
    <t>Poštanske usluge</t>
  </si>
  <si>
    <t>Maškare</t>
  </si>
  <si>
    <t>Kunjsko lito</t>
  </si>
  <si>
    <t>Dan Općine</t>
  </si>
  <si>
    <t>Oluja</t>
  </si>
  <si>
    <t>Klapa Intrade</t>
  </si>
  <si>
    <t>Ribarska noć</t>
  </si>
  <si>
    <t>Prijevoz KZM</t>
  </si>
  <si>
    <t>Baneri</t>
  </si>
  <si>
    <t>Smještaj</t>
  </si>
  <si>
    <t>Ozvučenje i rasvjeta</t>
  </si>
  <si>
    <t>Kunsjko lito</t>
  </si>
  <si>
    <t>Ozvučenje i rasvjeta - Beach party</t>
  </si>
  <si>
    <t>Sastavljanje i rastavljanje bine</t>
  </si>
  <si>
    <t>Potrošni materijal</t>
  </si>
  <si>
    <t>Ugostiteljske usluge</t>
  </si>
  <si>
    <t>ZAMP</t>
  </si>
  <si>
    <t>Honorar</t>
  </si>
  <si>
    <t>Akvatlon</t>
  </si>
  <si>
    <t>Izrada i promocija video materijala</t>
  </si>
  <si>
    <t>Organizacija</t>
  </si>
  <si>
    <t>Đir po konalu</t>
  </si>
  <si>
    <t>Izrada plakata</t>
  </si>
  <si>
    <t>Plivački maraton</t>
  </si>
  <si>
    <t>Honorari</t>
  </si>
  <si>
    <t>Izvođenje predstava za djecu</t>
  </si>
  <si>
    <t>Honorari - Izvođačima</t>
  </si>
  <si>
    <t>Škraping</t>
  </si>
  <si>
    <t>Fotografiranje</t>
  </si>
  <si>
    <t>Predstava</t>
  </si>
  <si>
    <t>Škrapić</t>
  </si>
  <si>
    <t>Božićni sajam</t>
  </si>
  <si>
    <t>SOP</t>
  </si>
  <si>
    <t>Održavanje</t>
  </si>
  <si>
    <t>WEB kamera</t>
  </si>
  <si>
    <t>Za 10, 11, 12 mjesec</t>
  </si>
  <si>
    <t>Multimedijalna aplikacija</t>
  </si>
  <si>
    <t>Pointers</t>
  </si>
  <si>
    <t>Fotoradionica</t>
  </si>
  <si>
    <t>POKRIVANJE MANJKA IZ PRETHODNE GODINE</t>
  </si>
  <si>
    <t>Telekomunikacijske usluge</t>
  </si>
  <si>
    <t>Najam telefona</t>
  </si>
  <si>
    <t>Održavanje opreme</t>
  </si>
  <si>
    <t>Računovodstvene usluge</t>
  </si>
  <si>
    <t>Javnobilježničke usluge</t>
  </si>
  <si>
    <t>Uredski materijal</t>
  </si>
  <si>
    <t>Kamate na prekoračenje</t>
  </si>
  <si>
    <t>Platni promet</t>
  </si>
  <si>
    <t>Prekoračenje po računu</t>
  </si>
  <si>
    <t>Porez</t>
  </si>
  <si>
    <t>WEB hosting paket</t>
  </si>
  <si>
    <t>Internet stranica</t>
  </si>
  <si>
    <t>Turistička karta ZŽ</t>
  </si>
  <si>
    <t>Brošura</t>
  </si>
  <si>
    <t>Brošura image - Engleski</t>
  </si>
  <si>
    <t>Brošura - Rivijera Tkon</t>
  </si>
  <si>
    <t>Tisak plakata</t>
  </si>
  <si>
    <t>Tiskani materijal</t>
  </si>
  <si>
    <t>Održavanje Internet stranice</t>
  </si>
  <si>
    <t>Poticanje i sudjelovanje u uređenju grada/općine/mjesta/ (osim
izgradnje komunalne infrastrukture)</t>
  </si>
  <si>
    <t>2.5.</t>
  </si>
  <si>
    <t>Info table / Info table-smeđa signalizacija</t>
  </si>
  <si>
    <t>Izvršenje financijskog plana</t>
  </si>
  <si>
    <t>Izvršenje - Relativno</t>
  </si>
  <si>
    <t>-</t>
  </si>
  <si>
    <t>1.3.</t>
  </si>
  <si>
    <t>1.4.</t>
  </si>
  <si>
    <t>Službena putovanja</t>
  </si>
  <si>
    <t>IZVRŠENJE FINANCIJSKOG PLANA ZA 2018.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</si>
</sst>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n&quot;_-;\-* #,##0.00\ &quot;kn&quot;_-;_-* &quot;-&quot;??\ &quot;kn&quot;_-;_-@_-"/>
    <numFmt numFmtId="164" formatCode="_-* #,##0\ &quot;kn&quot;_-;\-* #,##0\ &quot;kn&quot;_-;_-* &quot;-&quot;??\ &quot;kn&quot;_-;_-@_-"/>
  </numFmts>
  <fonts count="11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959595"/>
      </patternFill>
    </fill>
    <fill>
      <patternFill patternType="solid">
        <fgColor rgb="FF99CCFF"/>
      </patternFill>
    </fill>
    <fill>
      <patternFill patternType="solid">
        <fgColor rgb="FFCC99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1">
    <xf numFmtId="0" fontId="0" fillId="0" borderId="0" xfId="0" applyAlignment="1">
      <alignment horizontal="left" vertical="top"/>
    </xf>
    <xf numFmtId="44" fontId="0" fillId="0" borderId="0" xfId="0" applyNumberFormat="1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24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left" vertical="top"/>
    </xf>
    <xf numFmtId="164" fontId="6" fillId="0" borderId="2" xfId="0" applyNumberFormat="1" applyFont="1" applyBorder="1" applyAlignment="1">
      <alignment horizontal="left" vertical="top"/>
    </xf>
    <xf numFmtId="164" fontId="6" fillId="0" borderId="1" xfId="0" applyNumberFormat="1" applyFont="1" applyBorder="1" applyAlignment="1">
      <alignment horizontal="left" vertical="top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horizontal="left" vertical="top" wrapText="1"/>
    </xf>
    <xf numFmtId="164" fontId="5" fillId="5" borderId="4" xfId="0" applyNumberFormat="1" applyFont="1" applyFill="1" applyBorder="1" applyAlignment="1">
      <alignment horizontal="left" vertical="top"/>
    </xf>
    <xf numFmtId="164" fontId="5" fillId="5" borderId="5" xfId="0" applyNumberFormat="1" applyFont="1" applyFill="1" applyBorder="1" applyAlignment="1">
      <alignment horizontal="left" vertical="top"/>
    </xf>
    <xf numFmtId="164" fontId="6" fillId="6" borderId="14" xfId="0" applyNumberFormat="1" applyFont="1" applyFill="1" applyBorder="1" applyAlignment="1">
      <alignment horizontal="left" vertical="top"/>
    </xf>
    <xf numFmtId="164" fontId="6" fillId="6" borderId="20" xfId="0" applyNumberFormat="1" applyFont="1" applyFill="1" applyBorder="1" applyAlignment="1">
      <alignment horizontal="left" vertical="top"/>
    </xf>
    <xf numFmtId="164" fontId="6" fillId="6" borderId="12" xfId="0" applyNumberFormat="1" applyFont="1" applyFill="1" applyBorder="1" applyAlignment="1">
      <alignment horizontal="left" vertical="top"/>
    </xf>
    <xf numFmtId="164" fontId="6" fillId="6" borderId="13" xfId="0" applyNumberFormat="1" applyFont="1" applyFill="1" applyBorder="1" applyAlignment="1">
      <alignment horizontal="left" vertical="top"/>
    </xf>
    <xf numFmtId="164" fontId="6" fillId="0" borderId="7" xfId="0" applyNumberFormat="1" applyFont="1" applyBorder="1" applyAlignment="1">
      <alignment horizontal="left" vertical="top"/>
    </xf>
    <xf numFmtId="164" fontId="6" fillId="0" borderId="22" xfId="0" applyNumberFormat="1" applyFont="1" applyBorder="1" applyAlignment="1">
      <alignment horizontal="left" vertical="top"/>
    </xf>
    <xf numFmtId="164" fontId="6" fillId="0" borderId="8" xfId="0" applyNumberFormat="1" applyFont="1" applyBorder="1" applyAlignment="1">
      <alignment horizontal="left" vertical="top"/>
    </xf>
    <xf numFmtId="164" fontId="6" fillId="0" borderId="18" xfId="0" applyNumberFormat="1" applyFont="1" applyBorder="1" applyAlignment="1">
      <alignment horizontal="left" vertical="top"/>
    </xf>
    <xf numFmtId="164" fontId="6" fillId="0" borderId="4" xfId="0" applyNumberFormat="1" applyFont="1" applyBorder="1" applyAlignment="1">
      <alignment horizontal="left" vertical="top"/>
    </xf>
    <xf numFmtId="164" fontId="6" fillId="0" borderId="19" xfId="0" applyNumberFormat="1" applyFont="1" applyBorder="1" applyAlignment="1">
      <alignment horizontal="left" vertical="top"/>
    </xf>
    <xf numFmtId="164" fontId="6" fillId="0" borderId="5" xfId="0" applyNumberFormat="1" applyFont="1" applyBorder="1" applyAlignment="1">
      <alignment horizontal="left" vertical="top"/>
    </xf>
    <xf numFmtId="164" fontId="5" fillId="7" borderId="11" xfId="0" applyNumberFormat="1" applyFont="1" applyFill="1" applyBorder="1" applyAlignment="1">
      <alignment horizontal="left" vertical="top"/>
    </xf>
    <xf numFmtId="164" fontId="5" fillId="0" borderId="7" xfId="0" applyNumberFormat="1" applyFont="1" applyBorder="1" applyAlignment="1">
      <alignment horizontal="left" vertical="top"/>
    </xf>
    <xf numFmtId="164" fontId="5" fillId="0" borderId="22" xfId="0" applyNumberFormat="1" applyFont="1" applyBorder="1" applyAlignment="1">
      <alignment horizontal="left" vertical="top"/>
    </xf>
    <xf numFmtId="164" fontId="5" fillId="0" borderId="18" xfId="0" applyNumberFormat="1" applyFont="1" applyBorder="1" applyAlignment="1">
      <alignment horizontal="left" vertical="top"/>
    </xf>
    <xf numFmtId="164" fontId="5" fillId="7" borderId="23" xfId="0" applyNumberFormat="1" applyFont="1" applyFill="1" applyBorder="1" applyAlignment="1">
      <alignment horizontal="left" vertical="top"/>
    </xf>
    <xf numFmtId="164" fontId="5" fillId="0" borderId="8" xfId="0" applyNumberFormat="1" applyFont="1" applyBorder="1" applyAlignment="1">
      <alignment horizontal="left" vertical="top"/>
    </xf>
    <xf numFmtId="164" fontId="6" fillId="0" borderId="15" xfId="0" applyNumberFormat="1" applyFont="1" applyBorder="1" applyAlignment="1">
      <alignment horizontal="left" vertical="top"/>
    </xf>
    <xf numFmtId="164" fontId="6" fillId="0" borderId="21" xfId="0" applyNumberFormat="1" applyFont="1" applyBorder="1" applyAlignment="1">
      <alignment horizontal="left" vertical="top"/>
    </xf>
    <xf numFmtId="164" fontId="6" fillId="0" borderId="16" xfId="0" applyNumberFormat="1" applyFont="1" applyBorder="1" applyAlignment="1">
      <alignment horizontal="left" vertical="top"/>
    </xf>
    <xf numFmtId="164" fontId="5" fillId="8" borderId="14" xfId="0" applyNumberFormat="1" applyFont="1" applyFill="1" applyBorder="1" applyAlignment="1">
      <alignment horizontal="left" vertical="top"/>
    </xf>
    <xf numFmtId="164" fontId="5" fillId="8" borderId="20" xfId="0" applyNumberFormat="1" applyFont="1" applyFill="1" applyBorder="1" applyAlignment="1">
      <alignment horizontal="left" vertical="top"/>
    </xf>
    <xf numFmtId="164" fontId="5" fillId="8" borderId="12" xfId="0" applyNumberFormat="1" applyFont="1" applyFill="1" applyBorder="1" applyAlignment="1">
      <alignment horizontal="left" vertical="top"/>
    </xf>
    <xf numFmtId="164" fontId="6" fillId="8" borderId="14" xfId="0" applyNumberFormat="1" applyFont="1" applyFill="1" applyBorder="1" applyAlignment="1">
      <alignment horizontal="left" vertical="top"/>
    </xf>
    <xf numFmtId="164" fontId="6" fillId="8" borderId="20" xfId="0" applyNumberFormat="1" applyFont="1" applyFill="1" applyBorder="1" applyAlignment="1">
      <alignment horizontal="left" vertical="top"/>
    </xf>
    <xf numFmtId="164" fontId="6" fillId="8" borderId="12" xfId="0" applyNumberFormat="1" applyFont="1" applyFill="1" applyBorder="1" applyAlignment="1">
      <alignment horizontal="left" vertical="top"/>
    </xf>
    <xf numFmtId="164" fontId="6" fillId="8" borderId="13" xfId="1" applyNumberFormat="1" applyFont="1" applyFill="1" applyBorder="1" applyAlignment="1">
      <alignment horizontal="left" vertical="top"/>
    </xf>
    <xf numFmtId="164" fontId="6" fillId="0" borderId="8" xfId="0" applyNumberFormat="1" applyFont="1" applyBorder="1" applyAlignment="1">
      <alignment horizontal="center" vertical="top" wrapText="1"/>
    </xf>
    <xf numFmtId="164" fontId="5" fillId="0" borderId="27" xfId="0" applyNumberFormat="1" applyFont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top" wrapText="1"/>
    </xf>
    <xf numFmtId="164" fontId="5" fillId="5" borderId="26" xfId="0" applyNumberFormat="1" applyFont="1" applyFill="1" applyBorder="1" applyAlignment="1">
      <alignment horizontal="center" vertical="top" wrapText="1"/>
    </xf>
    <xf numFmtId="164" fontId="5" fillId="5" borderId="14" xfId="0" applyNumberFormat="1" applyFont="1" applyFill="1" applyBorder="1" applyAlignment="1">
      <alignment horizontal="center" vertical="top" wrapText="1"/>
    </xf>
    <xf numFmtId="164" fontId="5" fillId="5" borderId="20" xfId="0" applyNumberFormat="1" applyFont="1" applyFill="1" applyBorder="1" applyAlignment="1">
      <alignment horizontal="center" vertical="top" wrapText="1"/>
    </xf>
    <xf numFmtId="164" fontId="5" fillId="5" borderId="12" xfId="0" applyNumberFormat="1" applyFont="1" applyFill="1" applyBorder="1" applyAlignment="1">
      <alignment horizontal="center" vertical="top"/>
    </xf>
    <xf numFmtId="164" fontId="5" fillId="5" borderId="13" xfId="0" applyNumberFormat="1" applyFont="1" applyFill="1" applyBorder="1" applyAlignment="1">
      <alignment horizontal="left" vertical="top"/>
    </xf>
    <xf numFmtId="9" fontId="5" fillId="0" borderId="9" xfId="0" applyNumberFormat="1" applyFont="1" applyBorder="1" applyAlignment="1">
      <alignment horizontal="right" vertical="top"/>
    </xf>
    <xf numFmtId="1" fontId="5" fillId="0" borderId="8" xfId="0" applyNumberFormat="1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/>
    </xf>
    <xf numFmtId="1" fontId="5" fillId="5" borderId="5" xfId="0" applyNumberFormat="1" applyFont="1" applyFill="1" applyBorder="1" applyAlignment="1">
      <alignment horizontal="right" vertical="top"/>
    </xf>
    <xf numFmtId="164" fontId="8" fillId="0" borderId="7" xfId="0" applyNumberFormat="1" applyFont="1" applyBorder="1" applyAlignment="1">
      <alignment horizontal="left" vertical="top"/>
    </xf>
    <xf numFmtId="164" fontId="8" fillId="0" borderId="22" xfId="0" applyNumberFormat="1" applyFont="1" applyBorder="1" applyAlignment="1">
      <alignment horizontal="left" vertical="top"/>
    </xf>
    <xf numFmtId="164" fontId="8" fillId="0" borderId="8" xfId="0" applyNumberFormat="1" applyFont="1" applyBorder="1" applyAlignment="1">
      <alignment horizontal="left" vertical="top"/>
    </xf>
    <xf numFmtId="164" fontId="9" fillId="0" borderId="7" xfId="0" applyNumberFormat="1" applyFont="1" applyBorder="1" applyAlignment="1">
      <alignment horizontal="left" vertical="top"/>
    </xf>
    <xf numFmtId="164" fontId="9" fillId="0" borderId="22" xfId="0" applyNumberFormat="1" applyFont="1" applyBorder="1" applyAlignment="1">
      <alignment horizontal="left" vertical="top"/>
    </xf>
    <xf numFmtId="164" fontId="9" fillId="0" borderId="8" xfId="0" applyNumberFormat="1" applyFont="1" applyBorder="1" applyAlignment="1">
      <alignment horizontal="left" vertical="top"/>
    </xf>
    <xf numFmtId="164" fontId="8" fillId="0" borderId="2" xfId="0" applyNumberFormat="1" applyFont="1" applyBorder="1" applyAlignment="1">
      <alignment horizontal="left" vertical="top"/>
    </xf>
    <xf numFmtId="164" fontId="8" fillId="0" borderId="18" xfId="0" applyNumberFormat="1" applyFont="1" applyBorder="1" applyAlignment="1">
      <alignment horizontal="left" vertical="top"/>
    </xf>
    <xf numFmtId="164" fontId="8" fillId="0" borderId="1" xfId="0" applyNumberFormat="1" applyFont="1" applyBorder="1" applyAlignment="1">
      <alignment horizontal="left" vertical="top"/>
    </xf>
    <xf numFmtId="44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/>
    </xf>
    <xf numFmtId="44" fontId="10" fillId="0" borderId="0" xfId="0" applyNumberFormat="1" applyFont="1" applyAlignment="1">
      <alignment horizontal="right" vertical="top"/>
    </xf>
    <xf numFmtId="164" fontId="5" fillId="5" borderId="14" xfId="0" applyNumberFormat="1" applyFont="1" applyFill="1" applyBorder="1" applyAlignment="1">
      <alignment horizontal="left" vertical="top"/>
    </xf>
    <xf numFmtId="164" fontId="5" fillId="5" borderId="11" xfId="0" applyNumberFormat="1" applyFont="1" applyFill="1" applyBorder="1" applyAlignment="1">
      <alignment horizontal="left" vertical="top"/>
    </xf>
    <xf numFmtId="164" fontId="5" fillId="5" borderId="12" xfId="0" applyNumberFormat="1" applyFont="1" applyFill="1" applyBorder="1" applyAlignment="1">
      <alignment horizontal="left" vertical="top"/>
    </xf>
    <xf numFmtId="164" fontId="5" fillId="2" borderId="11" xfId="0" applyNumberFormat="1" applyFont="1" applyFill="1" applyBorder="1" applyAlignment="1">
      <alignment horizontal="left" vertical="top" wrapText="1" indent="13"/>
    </xf>
    <xf numFmtId="164" fontId="5" fillId="7" borderId="28" xfId="0" applyNumberFormat="1" applyFont="1" applyFill="1" applyBorder="1" applyAlignment="1">
      <alignment horizontal="left" vertical="top" wrapText="1"/>
    </xf>
    <xf numFmtId="164" fontId="8" fillId="0" borderId="29" xfId="0" applyNumberFormat="1" applyFont="1" applyBorder="1" applyAlignment="1">
      <alignment horizontal="left" vertical="top" wrapText="1"/>
    </xf>
    <xf numFmtId="164" fontId="9" fillId="0" borderId="29" xfId="0" applyNumberFormat="1" applyFont="1" applyBorder="1" applyAlignment="1">
      <alignment horizontal="left" vertical="top" wrapText="1"/>
    </xf>
    <xf numFmtId="164" fontId="8" fillId="0" borderId="30" xfId="0" applyNumberFormat="1" applyFont="1" applyBorder="1" applyAlignment="1">
      <alignment horizontal="left" vertical="top" wrapText="1"/>
    </xf>
    <xf numFmtId="164" fontId="6" fillId="0" borderId="30" xfId="0" applyNumberFormat="1" applyFont="1" applyBorder="1" applyAlignment="1">
      <alignment horizontal="left" vertical="top" wrapText="1"/>
    </xf>
    <xf numFmtId="164" fontId="6" fillId="0" borderId="31" xfId="0" applyNumberFormat="1" applyFont="1" applyBorder="1" applyAlignment="1">
      <alignment horizontal="left" vertical="top" wrapText="1"/>
    </xf>
    <xf numFmtId="164" fontId="5" fillId="5" borderId="28" xfId="0" applyNumberFormat="1" applyFont="1" applyFill="1" applyBorder="1" applyAlignment="1">
      <alignment horizontal="left" vertical="top" wrapText="1"/>
    </xf>
    <xf numFmtId="164" fontId="6" fillId="0" borderId="29" xfId="0" applyNumberFormat="1" applyFont="1" applyBorder="1" applyAlignment="1">
      <alignment horizontal="left" vertical="top" wrapText="1"/>
    </xf>
    <xf numFmtId="164" fontId="5" fillId="0" borderId="30" xfId="0" applyNumberFormat="1" applyFont="1" applyBorder="1" applyAlignment="1">
      <alignment horizontal="left" vertical="top" wrapText="1"/>
    </xf>
    <xf numFmtId="164" fontId="6" fillId="0" borderId="30" xfId="0" applyNumberFormat="1" applyFont="1" applyBorder="1" applyAlignment="1">
      <alignment horizontal="left" vertical="top" wrapText="1" indent="1"/>
    </xf>
    <xf numFmtId="164" fontId="6" fillId="0" borderId="31" xfId="0" applyNumberFormat="1" applyFont="1" applyBorder="1" applyAlignment="1">
      <alignment horizontal="left" vertical="top" wrapText="1" indent="1"/>
    </xf>
    <xf numFmtId="164" fontId="5" fillId="0" borderId="29" xfId="0" applyNumberFormat="1" applyFont="1" applyBorder="1" applyAlignment="1">
      <alignment horizontal="left" vertical="top" wrapText="1"/>
    </xf>
    <xf numFmtId="164" fontId="6" fillId="0" borderId="32" xfId="0" applyNumberFormat="1" applyFont="1" applyBorder="1" applyAlignment="1">
      <alignment horizontal="left" vertical="top" wrapText="1"/>
    </xf>
    <xf numFmtId="164" fontId="7" fillId="8" borderId="28" xfId="0" applyNumberFormat="1" applyFont="1" applyFill="1" applyBorder="1" applyAlignment="1">
      <alignment horizontal="left" vertical="top" wrapText="1"/>
    </xf>
    <xf numFmtId="164" fontId="6" fillId="8" borderId="28" xfId="0" applyNumberFormat="1" applyFont="1" applyFill="1" applyBorder="1" applyAlignment="1">
      <alignment horizontal="left" vertical="top" wrapText="1"/>
    </xf>
    <xf numFmtId="164" fontId="5" fillId="2" borderId="23" xfId="0" applyNumberFormat="1" applyFont="1" applyFill="1" applyBorder="1" applyAlignment="1">
      <alignment horizontal="center" vertical="top" wrapText="1"/>
    </xf>
    <xf numFmtId="1" fontId="8" fillId="0" borderId="33" xfId="0" applyNumberFormat="1" applyFont="1" applyBorder="1" applyAlignment="1">
      <alignment horizontal="center" vertical="top" wrapText="1"/>
    </xf>
    <xf numFmtId="1" fontId="9" fillId="0" borderId="33" xfId="0" applyNumberFormat="1" applyFont="1" applyBorder="1" applyAlignment="1">
      <alignment horizontal="center" vertical="top" wrapText="1"/>
    </xf>
    <xf numFmtId="1" fontId="8" fillId="0" borderId="34" xfId="0" applyNumberFormat="1" applyFont="1" applyBorder="1" applyAlignment="1">
      <alignment horizontal="center" vertical="top" wrapText="1"/>
    </xf>
    <xf numFmtId="164" fontId="6" fillId="0" borderId="34" xfId="0" applyNumberFormat="1" applyFont="1" applyBorder="1" applyAlignment="1">
      <alignment horizontal="center" vertical="top" wrapText="1"/>
    </xf>
    <xf numFmtId="164" fontId="5" fillId="5" borderId="34" xfId="0" applyNumberFormat="1" applyFont="1" applyFill="1" applyBorder="1" applyAlignment="1">
      <alignment horizontal="center" vertical="top" wrapText="1"/>
    </xf>
    <xf numFmtId="164" fontId="6" fillId="0" borderId="34" xfId="0" applyNumberFormat="1" applyFont="1" applyBorder="1" applyAlignment="1">
      <alignment horizontal="center" vertical="center" wrapText="1"/>
    </xf>
    <xf numFmtId="164" fontId="5" fillId="3" borderId="34" xfId="0" applyNumberFormat="1" applyFont="1" applyFill="1" applyBorder="1" applyAlignment="1">
      <alignment horizontal="center" vertical="top" wrapText="1"/>
    </xf>
    <xf numFmtId="164" fontId="5" fillId="0" borderId="34" xfId="0" applyNumberFormat="1" applyFont="1" applyBorder="1" applyAlignment="1">
      <alignment horizontal="center" vertical="top" wrapText="1"/>
    </xf>
    <xf numFmtId="164" fontId="6" fillId="2" borderId="34" xfId="0" applyNumberFormat="1" applyFont="1" applyFill="1" applyBorder="1" applyAlignment="1">
      <alignment horizontal="left" vertical="top" wrapText="1"/>
    </xf>
    <xf numFmtId="164" fontId="6" fillId="4" borderId="35" xfId="0" applyNumberFormat="1" applyFont="1" applyFill="1" applyBorder="1" applyAlignment="1">
      <alignment horizontal="left" vertical="top" wrapText="1"/>
    </xf>
    <xf numFmtId="164" fontId="5" fillId="5" borderId="23" xfId="0" applyNumberFormat="1" applyFont="1" applyFill="1" applyBorder="1" applyAlignment="1">
      <alignment horizontal="center" vertical="top" wrapText="1"/>
    </xf>
    <xf numFmtId="164" fontId="5" fillId="5" borderId="20" xfId="0" applyNumberFormat="1" applyFont="1" applyFill="1" applyBorder="1" applyAlignment="1">
      <alignment horizontal="left" vertical="top"/>
    </xf>
    <xf numFmtId="164" fontId="5" fillId="5" borderId="34" xfId="0" applyNumberFormat="1" applyFont="1" applyFill="1" applyBorder="1" applyAlignment="1">
      <alignment horizontal="center" vertical="center" wrapText="1"/>
    </xf>
    <xf numFmtId="1" fontId="5" fillId="5" borderId="12" xfId="0" applyNumberFormat="1" applyFont="1" applyFill="1" applyBorder="1" applyAlignment="1">
      <alignment horizontal="right" vertical="top"/>
    </xf>
    <xf numFmtId="1" fontId="8" fillId="0" borderId="8" xfId="0" applyNumberFormat="1" applyFont="1" applyBorder="1" applyAlignment="1">
      <alignment horizontal="right" vertical="top"/>
    </xf>
    <xf numFmtId="1" fontId="9" fillId="0" borderId="8" xfId="0" applyNumberFormat="1" applyFont="1" applyBorder="1" applyAlignment="1">
      <alignment horizontal="right" vertical="top"/>
    </xf>
    <xf numFmtId="1" fontId="8" fillId="0" borderId="1" xfId="0" applyNumberFormat="1" applyFont="1" applyBorder="1" applyAlignment="1">
      <alignment horizontal="right" vertical="top"/>
    </xf>
    <xf numFmtId="1" fontId="5" fillId="5" borderId="20" xfId="0" applyNumberFormat="1" applyFont="1" applyFill="1" applyBorder="1" applyAlignment="1">
      <alignment vertical="top"/>
    </xf>
    <xf numFmtId="1" fontId="6" fillId="0" borderId="1" xfId="0" applyNumberFormat="1" applyFont="1" applyBorder="1" applyAlignment="1">
      <alignment vertical="top"/>
    </xf>
    <xf numFmtId="1" fontId="6" fillId="0" borderId="5" xfId="0" applyNumberFormat="1" applyFont="1" applyBorder="1" applyAlignment="1">
      <alignment horizontal="right" vertical="top"/>
    </xf>
    <xf numFmtId="1" fontId="5" fillId="7" borderId="20" xfId="0" applyNumberFormat="1" applyFont="1" applyFill="1" applyBorder="1" applyAlignment="1">
      <alignment horizontal="right" vertical="top"/>
    </xf>
    <xf numFmtId="1" fontId="6" fillId="0" borderId="5" xfId="0" applyNumberFormat="1" applyFont="1" applyBorder="1" applyAlignment="1">
      <alignment vertical="top"/>
    </xf>
    <xf numFmtId="1" fontId="5" fillId="5" borderId="12" xfId="0" applyNumberFormat="1" applyFont="1" applyFill="1" applyBorder="1" applyAlignment="1">
      <alignment vertical="top"/>
    </xf>
    <xf numFmtId="1" fontId="6" fillId="0" borderId="16" xfId="0" applyNumberFormat="1" applyFont="1" applyBorder="1" applyAlignment="1">
      <alignment vertical="top"/>
    </xf>
    <xf numFmtId="1" fontId="6" fillId="0" borderId="8" xfId="0" applyNumberFormat="1" applyFont="1" applyBorder="1" applyAlignment="1">
      <alignment vertical="top"/>
    </xf>
    <xf numFmtId="1" fontId="5" fillId="8" borderId="12" xfId="0" applyNumberFormat="1" applyFont="1" applyFill="1" applyBorder="1" applyAlignment="1">
      <alignment vertical="top"/>
    </xf>
    <xf numFmtId="164" fontId="6" fillId="5" borderId="5" xfId="0" applyNumberFormat="1" applyFont="1" applyFill="1" applyBorder="1" applyAlignment="1">
      <alignment horizontal="left" vertical="top" wrapText="1"/>
    </xf>
    <xf numFmtId="164" fontId="7" fillId="5" borderId="25" xfId="0" applyNumberFormat="1" applyFont="1" applyFill="1" applyBorder="1" applyAlignment="1">
      <alignment horizontal="left" vertical="top" wrapText="1"/>
    </xf>
    <xf numFmtId="9" fontId="5" fillId="5" borderId="9" xfId="0" applyNumberFormat="1" applyFont="1" applyFill="1" applyBorder="1" applyAlignment="1">
      <alignment horizontal="right" vertical="top"/>
    </xf>
    <xf numFmtId="10" fontId="8" fillId="0" borderId="9" xfId="1" applyNumberFormat="1" applyFont="1" applyBorder="1" applyAlignment="1">
      <alignment horizontal="right" vertical="top"/>
    </xf>
    <xf numFmtId="10" fontId="5" fillId="5" borderId="13" xfId="1" applyNumberFormat="1" applyFont="1" applyFill="1" applyBorder="1" applyAlignment="1">
      <alignment horizontal="right" vertical="top"/>
    </xf>
    <xf numFmtId="10" fontId="9" fillId="0" borderId="9" xfId="1" applyNumberFormat="1" applyFont="1" applyBorder="1" applyAlignment="1">
      <alignment horizontal="right" vertical="top"/>
    </xf>
    <xf numFmtId="10" fontId="8" fillId="0" borderId="3" xfId="1" applyNumberFormat="1" applyFont="1" applyBorder="1" applyAlignment="1">
      <alignment horizontal="right" vertical="top"/>
    </xf>
    <xf numFmtId="10" fontId="6" fillId="0" borderId="3" xfId="1" applyNumberFormat="1" applyFont="1" applyBorder="1" applyAlignment="1">
      <alignment horizontal="right" vertical="top"/>
    </xf>
    <xf numFmtId="10" fontId="6" fillId="0" borderId="6" xfId="1" applyNumberFormat="1" applyFont="1" applyBorder="1" applyAlignment="1">
      <alignment horizontal="right" vertical="top"/>
    </xf>
    <xf numFmtId="10" fontId="5" fillId="0" borderId="9" xfId="1" applyNumberFormat="1" applyFont="1" applyBorder="1" applyAlignment="1">
      <alignment horizontal="right" vertical="top"/>
    </xf>
    <xf numFmtId="10" fontId="5" fillId="0" borderId="3" xfId="1" applyNumberFormat="1" applyFont="1" applyBorder="1" applyAlignment="1">
      <alignment horizontal="right" vertical="top"/>
    </xf>
    <xf numFmtId="10" fontId="5" fillId="7" borderId="13" xfId="1" applyNumberFormat="1" applyFont="1" applyFill="1" applyBorder="1" applyAlignment="1">
      <alignment horizontal="right" vertical="top"/>
    </xf>
    <xf numFmtId="10" fontId="6" fillId="0" borderId="17" xfId="1" applyNumberFormat="1" applyFont="1" applyBorder="1" applyAlignment="1">
      <alignment horizontal="right" vertical="top"/>
    </xf>
    <xf numFmtId="10" fontId="6" fillId="0" borderId="9" xfId="1" applyNumberFormat="1" applyFont="1" applyBorder="1" applyAlignment="1">
      <alignment horizontal="right" vertical="top"/>
    </xf>
    <xf numFmtId="10" fontId="5" fillId="8" borderId="13" xfId="1" applyNumberFormat="1" applyFont="1" applyFill="1" applyBorder="1" applyAlignment="1">
      <alignment horizontal="right" vertical="top"/>
    </xf>
    <xf numFmtId="164" fontId="9" fillId="0" borderId="1" xfId="0" applyNumberFormat="1" applyFont="1" applyBorder="1" applyAlignment="1">
      <alignment horizontal="center" vertical="top" wrapText="1"/>
    </xf>
    <xf numFmtId="164" fontId="9" fillId="0" borderId="24" xfId="0" applyNumberFormat="1" applyFont="1" applyBorder="1" applyAlignment="1">
      <alignment horizontal="left" vertical="top" wrapText="1" indent="2"/>
    </xf>
    <xf numFmtId="164" fontId="9" fillId="0" borderId="2" xfId="0" applyNumberFormat="1" applyFont="1" applyBorder="1" applyAlignment="1">
      <alignment horizontal="left" vertical="top"/>
    </xf>
    <xf numFmtId="164" fontId="9" fillId="0" borderId="1" xfId="0" applyNumberFormat="1" applyFont="1" applyBorder="1" applyAlignment="1">
      <alignment horizontal="left" vertical="top"/>
    </xf>
    <xf numFmtId="1" fontId="9" fillId="0" borderId="1" xfId="0" applyNumberFormat="1" applyFont="1" applyBorder="1" applyAlignment="1">
      <alignment horizontal="right" vertical="top"/>
    </xf>
    <xf numFmtId="9" fontId="9" fillId="0" borderId="9" xfId="0" applyNumberFormat="1" applyFont="1" applyBorder="1" applyAlignment="1">
      <alignment horizontal="right" vertical="top"/>
    </xf>
    <xf numFmtId="164" fontId="8" fillId="0" borderId="34" xfId="0" applyNumberFormat="1" applyFont="1" applyBorder="1" applyAlignment="1">
      <alignment horizontal="center" vertical="top" wrapText="1"/>
    </xf>
    <xf numFmtId="164" fontId="9" fillId="0" borderId="34" xfId="0" applyNumberFormat="1" applyFont="1" applyBorder="1" applyAlignment="1">
      <alignment horizontal="center" vertical="top" wrapText="1"/>
    </xf>
    <xf numFmtId="164" fontId="9" fillId="0" borderId="30" xfId="0" applyNumberFormat="1" applyFont="1" applyBorder="1" applyAlignment="1">
      <alignment horizontal="left" vertical="top" wrapText="1"/>
    </xf>
    <xf numFmtId="164" fontId="9" fillId="0" borderId="18" xfId="0" applyNumberFormat="1" applyFont="1" applyBorder="1" applyAlignment="1">
      <alignment horizontal="left" vertical="top"/>
    </xf>
    <xf numFmtId="10" fontId="9" fillId="0" borderId="3" xfId="1" applyNumberFormat="1" applyFont="1" applyBorder="1" applyAlignment="1">
      <alignment horizontal="right" vertical="top"/>
    </xf>
    <xf numFmtId="164" fontId="9" fillId="0" borderId="31" xfId="0" applyNumberFormat="1" applyFont="1" applyBorder="1" applyAlignment="1">
      <alignment horizontal="left" vertical="top" wrapText="1"/>
    </xf>
    <xf numFmtId="164" fontId="9" fillId="0" borderId="4" xfId="0" applyNumberFormat="1" applyFont="1" applyBorder="1" applyAlignment="1">
      <alignment horizontal="left" vertical="top"/>
    </xf>
    <xf numFmtId="164" fontId="9" fillId="0" borderId="19" xfId="0" applyNumberFormat="1" applyFont="1" applyBorder="1" applyAlignment="1">
      <alignment horizontal="left" vertical="top"/>
    </xf>
    <xf numFmtId="164" fontId="9" fillId="0" borderId="5" xfId="0" applyNumberFormat="1" applyFont="1" applyBorder="1" applyAlignment="1">
      <alignment horizontal="left" vertical="top"/>
    </xf>
    <xf numFmtId="1" fontId="9" fillId="0" borderId="5" xfId="0" applyNumberFormat="1" applyFont="1" applyBorder="1" applyAlignment="1">
      <alignment horizontal="right" vertical="top"/>
    </xf>
    <xf numFmtId="10" fontId="9" fillId="0" borderId="6" xfId="1" applyNumberFormat="1" applyFont="1" applyBorder="1" applyAlignment="1">
      <alignment horizontal="right" vertical="top"/>
    </xf>
    <xf numFmtId="164" fontId="8" fillId="0" borderId="34" xfId="0" applyNumberFormat="1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vertical="top"/>
    </xf>
    <xf numFmtId="1" fontId="8" fillId="0" borderId="1" xfId="0" applyNumberFormat="1" applyFont="1" applyBorder="1" applyAlignment="1">
      <alignment vertical="top"/>
    </xf>
    <xf numFmtId="10" fontId="5" fillId="0" borderId="8" xfId="0" applyNumberFormat="1" applyFont="1" applyBorder="1" applyAlignment="1">
      <alignment horizontal="center" vertical="top"/>
    </xf>
    <xf numFmtId="10" fontId="5" fillId="0" borderId="1" xfId="0" applyNumberFormat="1" applyFont="1" applyBorder="1" applyAlignment="1">
      <alignment horizontal="center" vertical="top"/>
    </xf>
    <xf numFmtId="10" fontId="5" fillId="5" borderId="5" xfId="0" applyNumberFormat="1" applyFont="1" applyFill="1" applyBorder="1" applyAlignment="1">
      <alignment horizontal="center" vertical="top"/>
    </xf>
    <xf numFmtId="164" fontId="0" fillId="0" borderId="0" xfId="0" applyNumberFormat="1" applyAlignment="1">
      <alignment horizontal="left" vertical="top"/>
    </xf>
    <xf numFmtId="10" fontId="8" fillId="0" borderId="22" xfId="0" applyNumberFormat="1" applyFont="1" applyBorder="1" applyAlignment="1">
      <alignment horizontal="center" vertical="top"/>
    </xf>
    <xf numFmtId="10" fontId="8" fillId="0" borderId="18" xfId="0" applyNumberFormat="1" applyFont="1" applyBorder="1" applyAlignment="1">
      <alignment horizontal="center" vertical="top"/>
    </xf>
    <xf numFmtId="10" fontId="5" fillId="5" borderId="20" xfId="0" applyNumberFormat="1" applyFont="1" applyFill="1" applyBorder="1" applyAlignment="1">
      <alignment horizontal="center" vertical="top"/>
    </xf>
    <xf numFmtId="10" fontId="5" fillId="5" borderId="11" xfId="0" applyNumberFormat="1" applyFont="1" applyFill="1" applyBorder="1" applyAlignment="1">
      <alignment horizontal="center" vertical="top"/>
    </xf>
    <xf numFmtId="10" fontId="5" fillId="7" borderId="11" xfId="0" applyNumberFormat="1" applyFont="1" applyFill="1" applyBorder="1" applyAlignment="1">
      <alignment horizontal="center" vertical="top"/>
    </xf>
    <xf numFmtId="10" fontId="5" fillId="0" borderId="22" xfId="0" applyNumberFormat="1" applyFont="1" applyBorder="1" applyAlignment="1">
      <alignment horizontal="center" vertical="top"/>
    </xf>
    <xf numFmtId="10" fontId="5" fillId="0" borderId="18" xfId="0" applyNumberFormat="1" applyFont="1" applyBorder="1" applyAlignment="1">
      <alignment horizontal="center" vertical="top"/>
    </xf>
    <xf numFmtId="10" fontId="5" fillId="8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topLeftCell="A43" workbookViewId="0">
      <selection activeCell="L5" sqref="L5"/>
    </sheetView>
  </sheetViews>
  <sheetFormatPr defaultRowHeight="32.25" customHeight="1" x14ac:dyDescent="0.2"/>
  <cols>
    <col min="1" max="1" width="4.6640625" customWidth="1"/>
    <col min="2" max="2" width="29.5" customWidth="1"/>
    <col min="3" max="3" width="14.83203125" customWidth="1"/>
    <col min="4" max="4" width="15.6640625" customWidth="1"/>
    <col min="5" max="5" width="15.33203125" customWidth="1"/>
    <col min="6" max="6" width="16.83203125" customWidth="1"/>
    <col min="7" max="7" width="13" customWidth="1"/>
    <col min="8" max="8" width="14.83203125" customWidth="1"/>
    <col min="9" max="9" width="7.83203125" customWidth="1"/>
    <col min="10" max="10" width="11.83203125" customWidth="1"/>
    <col min="11" max="11" width="13.33203125" bestFit="1" customWidth="1"/>
    <col min="13" max="13" width="13.33203125" bestFit="1" customWidth="1"/>
  </cols>
  <sheetData>
    <row r="1" spans="1:10" ht="32.25" customHeight="1" thickBot="1" x14ac:dyDescent="0.25">
      <c r="A1" s="159" t="s">
        <v>154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48" thickBot="1" x14ac:dyDescent="0.25">
      <c r="A2" s="43" t="s">
        <v>7</v>
      </c>
      <c r="B2" s="44" t="s">
        <v>8</v>
      </c>
      <c r="C2" s="45" t="s">
        <v>66</v>
      </c>
      <c r="D2" s="46" t="s">
        <v>63</v>
      </c>
      <c r="E2" s="46" t="s">
        <v>68</v>
      </c>
      <c r="F2" s="46" t="s">
        <v>148</v>
      </c>
      <c r="G2" s="46" t="s">
        <v>149</v>
      </c>
      <c r="H2" s="47" t="s">
        <v>0</v>
      </c>
      <c r="I2" s="47" t="s">
        <v>1</v>
      </c>
      <c r="J2" s="48" t="s">
        <v>2</v>
      </c>
    </row>
    <row r="3" spans="1:10" ht="32.25" customHeight="1" x14ac:dyDescent="0.2">
      <c r="A3" s="41" t="s">
        <v>62</v>
      </c>
      <c r="B3" s="42" t="s">
        <v>9</v>
      </c>
      <c r="C3" s="26">
        <v>320000</v>
      </c>
      <c r="D3" s="30">
        <v>330000</v>
      </c>
      <c r="E3" s="30">
        <v>394000</v>
      </c>
      <c r="F3" s="30">
        <f>254155+137270</f>
        <v>391425</v>
      </c>
      <c r="G3" s="147">
        <f>F3/E3</f>
        <v>0.99346446700507618</v>
      </c>
      <c r="H3" s="30">
        <f t="shared" ref="H3:H49" si="0">E3-D3</f>
        <v>64000</v>
      </c>
      <c r="I3" s="50">
        <f>E3/D3*100</f>
        <v>119.39393939393939</v>
      </c>
      <c r="J3" s="49">
        <f>E3/$E$12</f>
        <v>0.53606390317107655</v>
      </c>
    </row>
    <row r="4" spans="1:10" ht="32.25" customHeight="1" x14ac:dyDescent="0.2">
      <c r="A4" s="4" t="s">
        <v>64</v>
      </c>
      <c r="B4" s="5" t="s">
        <v>10</v>
      </c>
      <c r="C4" s="6">
        <v>85000</v>
      </c>
      <c r="D4" s="7">
        <v>90000</v>
      </c>
      <c r="E4" s="7">
        <v>90000</v>
      </c>
      <c r="F4" s="7">
        <v>92794</v>
      </c>
      <c r="G4" s="147">
        <f>F4/E4</f>
        <v>1.0310444444444444</v>
      </c>
      <c r="H4" s="7">
        <f t="shared" si="0"/>
        <v>0</v>
      </c>
      <c r="I4" s="51">
        <f t="shared" ref="I4:I12" si="1">E4/D4*100</f>
        <v>100</v>
      </c>
      <c r="J4" s="49">
        <f t="shared" ref="J4:J12" si="2">E4/$E$12</f>
        <v>0.12245114539440834</v>
      </c>
    </row>
    <row r="5" spans="1:10" ht="32.25" customHeight="1" x14ac:dyDescent="0.2">
      <c r="A5" s="4" t="s">
        <v>65</v>
      </c>
      <c r="B5" s="5" t="s">
        <v>11</v>
      </c>
      <c r="C5" s="6">
        <v>100000</v>
      </c>
      <c r="D5" s="7">
        <v>100000</v>
      </c>
      <c r="E5" s="7">
        <f>SUM(E6:E7)</f>
        <v>228987</v>
      </c>
      <c r="F5" s="7">
        <f>9942.21+101968.25</f>
        <v>111910.45999999999</v>
      </c>
      <c r="G5" s="147">
        <f>F5/E5</f>
        <v>0.48871970897911232</v>
      </c>
      <c r="H5" s="7">
        <f t="shared" si="0"/>
        <v>128987</v>
      </c>
      <c r="I5" s="51">
        <f t="shared" si="1"/>
        <v>228.98699999999999</v>
      </c>
      <c r="J5" s="49">
        <f t="shared" si="2"/>
        <v>0.31155244922699316</v>
      </c>
    </row>
    <row r="6" spans="1:10" ht="32.25" customHeight="1" x14ac:dyDescent="0.2">
      <c r="A6" s="127" t="s">
        <v>12</v>
      </c>
      <c r="B6" s="128" t="s">
        <v>13</v>
      </c>
      <c r="C6" s="129">
        <v>95000</v>
      </c>
      <c r="D6" s="130">
        <v>95000</v>
      </c>
      <c r="E6" s="130">
        <f>87000+116187+2200+24700-1100</f>
        <v>228987</v>
      </c>
      <c r="F6" s="130">
        <v>111910</v>
      </c>
      <c r="G6" s="147"/>
      <c r="H6" s="130">
        <f t="shared" si="0"/>
        <v>133987</v>
      </c>
      <c r="I6" s="131">
        <f t="shared" si="1"/>
        <v>241.03894736842105</v>
      </c>
      <c r="J6" s="132">
        <f t="shared" si="2"/>
        <v>0.31155244922699316</v>
      </c>
    </row>
    <row r="7" spans="1:10" ht="32.25" customHeight="1" x14ac:dyDescent="0.2">
      <c r="A7" s="127" t="s">
        <v>14</v>
      </c>
      <c r="B7" s="128" t="s">
        <v>15</v>
      </c>
      <c r="C7" s="129">
        <v>5000</v>
      </c>
      <c r="D7" s="130">
        <v>5000</v>
      </c>
      <c r="E7" s="130">
        <v>0</v>
      </c>
      <c r="F7" s="130">
        <v>0</v>
      </c>
      <c r="G7" s="147"/>
      <c r="H7" s="130">
        <f t="shared" si="0"/>
        <v>-5000</v>
      </c>
      <c r="I7" s="131">
        <f t="shared" si="1"/>
        <v>0</v>
      </c>
      <c r="J7" s="132">
        <f t="shared" si="2"/>
        <v>0</v>
      </c>
    </row>
    <row r="8" spans="1:10" ht="32.25" customHeight="1" x14ac:dyDescent="0.2">
      <c r="A8" s="4" t="s">
        <v>69</v>
      </c>
      <c r="B8" s="5" t="s">
        <v>16</v>
      </c>
      <c r="C8" s="6">
        <v>20000</v>
      </c>
      <c r="D8" s="7">
        <v>20000</v>
      </c>
      <c r="E8" s="7">
        <v>0</v>
      </c>
      <c r="F8" s="7">
        <v>114</v>
      </c>
      <c r="G8" s="147"/>
      <c r="H8" s="7">
        <f t="shared" si="0"/>
        <v>-20000</v>
      </c>
      <c r="I8" s="51">
        <f t="shared" si="1"/>
        <v>0</v>
      </c>
      <c r="J8" s="49">
        <f t="shared" si="2"/>
        <v>0</v>
      </c>
    </row>
    <row r="9" spans="1:10" ht="32.25" customHeight="1" x14ac:dyDescent="0.2">
      <c r="A9" s="10" t="s">
        <v>70</v>
      </c>
      <c r="B9" s="5" t="s">
        <v>74</v>
      </c>
      <c r="C9" s="6">
        <v>0</v>
      </c>
      <c r="D9" s="7">
        <v>0</v>
      </c>
      <c r="E9" s="7">
        <v>0</v>
      </c>
      <c r="F9" s="7">
        <v>0</v>
      </c>
      <c r="G9" s="7"/>
      <c r="H9" s="7">
        <f t="shared" si="0"/>
        <v>0</v>
      </c>
      <c r="I9" s="51">
        <v>0</v>
      </c>
      <c r="J9" s="49">
        <f t="shared" si="2"/>
        <v>0</v>
      </c>
    </row>
    <row r="10" spans="1:10" ht="32.25" customHeight="1" x14ac:dyDescent="0.2">
      <c r="A10" s="4" t="s">
        <v>71</v>
      </c>
      <c r="B10" s="5" t="s">
        <v>17</v>
      </c>
      <c r="C10" s="6">
        <v>1000</v>
      </c>
      <c r="D10" s="7">
        <v>1000</v>
      </c>
      <c r="E10" s="7">
        <f>E11</f>
        <v>22000</v>
      </c>
      <c r="F10" s="7">
        <v>30268</v>
      </c>
      <c r="G10" s="148">
        <f>F10/E10</f>
        <v>1.3758181818181818</v>
      </c>
      <c r="H10" s="7">
        <f t="shared" si="0"/>
        <v>21000</v>
      </c>
      <c r="I10" s="51">
        <f t="shared" si="1"/>
        <v>2200</v>
      </c>
      <c r="J10" s="49">
        <f t="shared" si="2"/>
        <v>2.9932502207522037E-2</v>
      </c>
    </row>
    <row r="11" spans="1:10" s="3" customFormat="1" ht="32.25" customHeight="1" x14ac:dyDescent="0.2">
      <c r="A11" s="4" t="s">
        <v>72</v>
      </c>
      <c r="B11" s="11" t="s">
        <v>73</v>
      </c>
      <c r="C11" s="8"/>
      <c r="D11" s="9">
        <v>1000</v>
      </c>
      <c r="E11" s="9">
        <f>20900+1100</f>
        <v>22000</v>
      </c>
      <c r="F11" s="9">
        <v>30268</v>
      </c>
      <c r="G11" s="9"/>
      <c r="H11" s="9">
        <f t="shared" si="0"/>
        <v>21000</v>
      </c>
      <c r="I11" s="52">
        <f t="shared" si="1"/>
        <v>2200</v>
      </c>
      <c r="J11" s="49">
        <f t="shared" si="2"/>
        <v>2.9932502207522037E-2</v>
      </c>
    </row>
    <row r="12" spans="1:10" ht="32.25" customHeight="1" thickBot="1" x14ac:dyDescent="0.25">
      <c r="A12" s="112"/>
      <c r="B12" s="113" t="s">
        <v>18</v>
      </c>
      <c r="C12" s="12">
        <f>SUM(C3:C10)-C6-C7</f>
        <v>526000</v>
      </c>
      <c r="D12" s="13">
        <f>SUM(D3,D4,D5,D8,D9,D10)</f>
        <v>541000</v>
      </c>
      <c r="E12" s="13">
        <f>E3+E4+E5+E10</f>
        <v>734987</v>
      </c>
      <c r="F12" s="13">
        <f>F3+F4+F5+F8+F10</f>
        <v>626511.46</v>
      </c>
      <c r="G12" s="149">
        <f>F12/E12</f>
        <v>0.85241162088581157</v>
      </c>
      <c r="H12" s="13">
        <f t="shared" si="0"/>
        <v>193987</v>
      </c>
      <c r="I12" s="53">
        <f t="shared" si="1"/>
        <v>135.85711645101662</v>
      </c>
      <c r="J12" s="114">
        <f t="shared" si="2"/>
        <v>1</v>
      </c>
    </row>
    <row r="13" spans="1:10" ht="32.25" customHeight="1" thickBot="1" x14ac:dyDescent="0.25">
      <c r="A13" s="85" t="s">
        <v>7</v>
      </c>
      <c r="B13" s="69" t="s">
        <v>19</v>
      </c>
      <c r="C13" s="14"/>
      <c r="D13" s="15"/>
      <c r="E13" s="15"/>
      <c r="F13" s="15"/>
      <c r="G13" s="15"/>
      <c r="H13" s="16"/>
      <c r="I13" s="16"/>
      <c r="J13" s="17"/>
    </row>
    <row r="14" spans="1:10" ht="32.25" customHeight="1" thickBot="1" x14ac:dyDescent="0.25">
      <c r="A14" s="96" t="s">
        <v>20</v>
      </c>
      <c r="B14" s="76" t="s">
        <v>21</v>
      </c>
      <c r="C14" s="66">
        <f>SUM(C15:C20)</f>
        <v>100000</v>
      </c>
      <c r="D14" s="97">
        <f>D20+D15</f>
        <v>115000</v>
      </c>
      <c r="E14" s="97">
        <f>E15+E20</f>
        <v>169800</v>
      </c>
      <c r="F14" s="97">
        <f>F15+F20</f>
        <v>167075.82999999999</v>
      </c>
      <c r="G14" s="153">
        <f>F14/E14</f>
        <v>0.98395659599528851</v>
      </c>
      <c r="H14" s="68">
        <f t="shared" si="0"/>
        <v>54800</v>
      </c>
      <c r="I14" s="99">
        <f>E14/D14*100</f>
        <v>147.65217391304347</v>
      </c>
      <c r="J14" s="116">
        <f>E14/$E$52</f>
        <v>0.23102449431078373</v>
      </c>
    </row>
    <row r="15" spans="1:10" ht="32.25" customHeight="1" x14ac:dyDescent="0.2">
      <c r="A15" s="86">
        <v>1</v>
      </c>
      <c r="B15" s="71" t="s">
        <v>22</v>
      </c>
      <c r="C15" s="54">
        <v>60000</v>
      </c>
      <c r="D15" s="55">
        <v>75000</v>
      </c>
      <c r="E15" s="55">
        <f>SUM(E16:E19)</f>
        <v>127300</v>
      </c>
      <c r="F15" s="55">
        <f>F16+F17+F18+F19</f>
        <v>122046.54</v>
      </c>
      <c r="G15" s="151">
        <f>F15/E15</f>
        <v>0.95873165750196376</v>
      </c>
      <c r="H15" s="56">
        <f t="shared" si="0"/>
        <v>52300</v>
      </c>
      <c r="I15" s="100">
        <f t="shared" ref="I15:I52" si="3">E15/D15*100</f>
        <v>169.73333333333335</v>
      </c>
      <c r="J15" s="115">
        <f t="shared" ref="J15:J52" si="4">E15/$E$52</f>
        <v>0.17320034231897979</v>
      </c>
    </row>
    <row r="16" spans="1:10" ht="32.25" customHeight="1" x14ac:dyDescent="0.2">
      <c r="A16" s="87" t="s">
        <v>30</v>
      </c>
      <c r="B16" s="72" t="s">
        <v>75</v>
      </c>
      <c r="C16" s="57"/>
      <c r="D16" s="58"/>
      <c r="E16" s="58">
        <v>119300</v>
      </c>
      <c r="F16" s="58">
        <f>94159.03+500+14920.95+1636.45+2105.11</f>
        <v>113321.54</v>
      </c>
      <c r="G16" s="58"/>
      <c r="H16" s="59"/>
      <c r="I16" s="101"/>
      <c r="J16" s="117">
        <f t="shared" si="4"/>
        <v>0.16231579606169905</v>
      </c>
    </row>
    <row r="17" spans="1:13" ht="32.25" customHeight="1" x14ac:dyDescent="0.2">
      <c r="A17" s="87" t="s">
        <v>32</v>
      </c>
      <c r="B17" s="72" t="s">
        <v>153</v>
      </c>
      <c r="C17" s="57"/>
      <c r="D17" s="58"/>
      <c r="E17" s="58">
        <v>0</v>
      </c>
      <c r="F17" s="58">
        <v>754</v>
      </c>
      <c r="G17" s="58"/>
      <c r="H17" s="59"/>
      <c r="I17" s="101"/>
      <c r="J17" s="117"/>
    </row>
    <row r="18" spans="1:13" ht="32.25" customHeight="1" x14ac:dyDescent="0.2">
      <c r="A18" s="87" t="s">
        <v>151</v>
      </c>
      <c r="B18" s="72" t="s">
        <v>77</v>
      </c>
      <c r="C18" s="57"/>
      <c r="D18" s="58"/>
      <c r="E18" s="58">
        <v>2050</v>
      </c>
      <c r="F18" s="58">
        <v>2021</v>
      </c>
      <c r="G18" s="58"/>
      <c r="H18" s="59"/>
      <c r="I18" s="101"/>
      <c r="J18" s="117">
        <f t="shared" si="4"/>
        <v>2.7891649784281898E-3</v>
      </c>
    </row>
    <row r="19" spans="1:13" ht="32.25" customHeight="1" x14ac:dyDescent="0.2">
      <c r="A19" s="87" t="s">
        <v>152</v>
      </c>
      <c r="B19" s="72" t="s">
        <v>76</v>
      </c>
      <c r="C19" s="57"/>
      <c r="D19" s="58"/>
      <c r="E19" s="58">
        <v>5950</v>
      </c>
      <c r="F19" s="58">
        <v>5950</v>
      </c>
      <c r="G19" s="58"/>
      <c r="H19" s="59"/>
      <c r="I19" s="101"/>
      <c r="J19" s="117">
        <f t="shared" si="4"/>
        <v>8.0953812788525509E-3</v>
      </c>
    </row>
    <row r="20" spans="1:13" s="2" customFormat="1" ht="32.25" customHeight="1" x14ac:dyDescent="0.2">
      <c r="A20" s="88">
        <v>2</v>
      </c>
      <c r="B20" s="73" t="s">
        <v>23</v>
      </c>
      <c r="C20" s="60">
        <v>40000</v>
      </c>
      <c r="D20" s="61">
        <v>40000</v>
      </c>
      <c r="E20" s="61">
        <f>SUM(E21:E22)</f>
        <v>42500</v>
      </c>
      <c r="F20" s="61">
        <f>F21+F22</f>
        <v>45029.29</v>
      </c>
      <c r="G20" s="152">
        <f>F20/E20</f>
        <v>1.059512705882353</v>
      </c>
      <c r="H20" s="62">
        <f t="shared" si="0"/>
        <v>2500</v>
      </c>
      <c r="I20" s="102">
        <f t="shared" si="3"/>
        <v>106.25</v>
      </c>
      <c r="J20" s="118">
        <f t="shared" si="4"/>
        <v>5.7824151991803935E-2</v>
      </c>
    </row>
    <row r="21" spans="1:13" ht="32.25" customHeight="1" x14ac:dyDescent="0.2">
      <c r="A21" s="134" t="s">
        <v>24</v>
      </c>
      <c r="B21" s="135" t="s">
        <v>25</v>
      </c>
      <c r="C21" s="129">
        <v>35000</v>
      </c>
      <c r="D21" s="136">
        <v>35000</v>
      </c>
      <c r="E21" s="136">
        <v>42500</v>
      </c>
      <c r="F21" s="136">
        <f>1360.12+7532.16+312.3+89.38+25200+135+70+96+359.95+1432.79+4496.83+2791.66+1130.48+1.13+21.49</f>
        <v>45029.29</v>
      </c>
      <c r="G21" s="136"/>
      <c r="H21" s="130">
        <f t="shared" si="0"/>
        <v>7500</v>
      </c>
      <c r="I21" s="131">
        <f t="shared" si="3"/>
        <v>121.42857142857142</v>
      </c>
      <c r="J21" s="137">
        <f t="shared" si="4"/>
        <v>5.7824151991803935E-2</v>
      </c>
    </row>
    <row r="22" spans="1:13" ht="32.25" customHeight="1" thickBot="1" x14ac:dyDescent="0.25">
      <c r="A22" s="134" t="s">
        <v>26</v>
      </c>
      <c r="B22" s="138" t="s">
        <v>27</v>
      </c>
      <c r="C22" s="139">
        <v>5000</v>
      </c>
      <c r="D22" s="140">
        <v>5000</v>
      </c>
      <c r="E22" s="140">
        <v>0</v>
      </c>
      <c r="F22" s="140">
        <v>0</v>
      </c>
      <c r="G22" s="140"/>
      <c r="H22" s="141">
        <f t="shared" si="0"/>
        <v>-5000</v>
      </c>
      <c r="I22" s="142">
        <f t="shared" si="3"/>
        <v>0</v>
      </c>
      <c r="J22" s="143">
        <f t="shared" si="4"/>
        <v>0</v>
      </c>
    </row>
    <row r="23" spans="1:13" ht="32.25" customHeight="1" thickBot="1" x14ac:dyDescent="0.25">
      <c r="A23" s="90" t="s">
        <v>28</v>
      </c>
      <c r="B23" s="76" t="s">
        <v>29</v>
      </c>
      <c r="C23" s="66">
        <f>C24+C27</f>
        <v>256921</v>
      </c>
      <c r="D23" s="67">
        <f>D27+D24</f>
        <v>262000</v>
      </c>
      <c r="E23" s="67">
        <f>E27+E24</f>
        <v>343550</v>
      </c>
      <c r="F23" s="67">
        <f>F24+F27</f>
        <v>357702.63</v>
      </c>
      <c r="G23" s="154">
        <f>F23/E23</f>
        <v>1.0411952554213362</v>
      </c>
      <c r="H23" s="68">
        <f t="shared" si="0"/>
        <v>81550</v>
      </c>
      <c r="I23" s="103">
        <f t="shared" si="3"/>
        <v>131.12595419847329</v>
      </c>
      <c r="J23" s="116">
        <f t="shared" si="4"/>
        <v>0.46742323333609981</v>
      </c>
      <c r="M23" s="1"/>
    </row>
    <row r="24" spans="1:13" ht="32.25" customHeight="1" x14ac:dyDescent="0.2">
      <c r="A24" s="144" t="s">
        <v>62</v>
      </c>
      <c r="B24" s="71" t="s">
        <v>145</v>
      </c>
      <c r="C24" s="54">
        <f>SUM(C25:C26)</f>
        <v>20000</v>
      </c>
      <c r="D24" s="55">
        <v>20000</v>
      </c>
      <c r="E24" s="55">
        <v>0</v>
      </c>
      <c r="F24" s="55">
        <f>F25+F26</f>
        <v>0</v>
      </c>
      <c r="G24" s="55"/>
      <c r="H24" s="56">
        <f t="shared" si="0"/>
        <v>-20000</v>
      </c>
      <c r="I24" s="145">
        <f t="shared" si="3"/>
        <v>0</v>
      </c>
      <c r="J24" s="115">
        <f t="shared" si="4"/>
        <v>0</v>
      </c>
    </row>
    <row r="25" spans="1:13" ht="32.25" customHeight="1" x14ac:dyDescent="0.2">
      <c r="A25" s="89" t="s">
        <v>30</v>
      </c>
      <c r="B25" s="74" t="s">
        <v>31</v>
      </c>
      <c r="C25" s="8">
        <v>15000</v>
      </c>
      <c r="D25" s="21">
        <v>15000</v>
      </c>
      <c r="E25" s="21">
        <v>0</v>
      </c>
      <c r="F25" s="21">
        <v>0</v>
      </c>
      <c r="G25" s="21"/>
      <c r="H25" s="9">
        <f t="shared" si="0"/>
        <v>-15000</v>
      </c>
      <c r="I25" s="104">
        <f t="shared" si="3"/>
        <v>0</v>
      </c>
      <c r="J25" s="119">
        <f t="shared" si="4"/>
        <v>0</v>
      </c>
    </row>
    <row r="26" spans="1:13" ht="32.25" customHeight="1" x14ac:dyDescent="0.2">
      <c r="A26" s="89" t="s">
        <v>32</v>
      </c>
      <c r="B26" s="74" t="s">
        <v>33</v>
      </c>
      <c r="C26" s="8">
        <v>5000</v>
      </c>
      <c r="D26" s="21">
        <v>5000</v>
      </c>
      <c r="E26" s="21">
        <v>0</v>
      </c>
      <c r="F26" s="21">
        <v>0</v>
      </c>
      <c r="G26" s="21"/>
      <c r="H26" s="9">
        <f t="shared" si="0"/>
        <v>-5000</v>
      </c>
      <c r="I26" s="104">
        <f t="shared" si="3"/>
        <v>0</v>
      </c>
      <c r="J26" s="119">
        <f t="shared" si="4"/>
        <v>0</v>
      </c>
    </row>
    <row r="27" spans="1:13" ht="32.25" customHeight="1" x14ac:dyDescent="0.2">
      <c r="A27" s="133" t="s">
        <v>64</v>
      </c>
      <c r="B27" s="73" t="s">
        <v>34</v>
      </c>
      <c r="C27" s="60">
        <f>SUM(C28:C31)</f>
        <v>236921</v>
      </c>
      <c r="D27" s="61">
        <f>D31+D30+D29+D28</f>
        <v>242000</v>
      </c>
      <c r="E27" s="61">
        <f>SUM(E28:E31)</f>
        <v>343550</v>
      </c>
      <c r="F27" s="61">
        <f>F28+F29+F30+F31</f>
        <v>357702.63</v>
      </c>
      <c r="G27" s="152">
        <f>F27/E27</f>
        <v>1.0411952554213362</v>
      </c>
      <c r="H27" s="62">
        <f t="shared" si="0"/>
        <v>101550</v>
      </c>
      <c r="I27" s="146">
        <f t="shared" si="3"/>
        <v>141.96280991735537</v>
      </c>
      <c r="J27" s="118">
        <f t="shared" si="4"/>
        <v>0.46742323333609981</v>
      </c>
    </row>
    <row r="28" spans="1:13" ht="32.25" customHeight="1" x14ac:dyDescent="0.2">
      <c r="A28" s="89" t="s">
        <v>24</v>
      </c>
      <c r="B28" s="79" t="s">
        <v>35</v>
      </c>
      <c r="C28" s="8">
        <v>170000</v>
      </c>
      <c r="D28" s="21">
        <v>170000</v>
      </c>
      <c r="E28" s="21">
        <v>245200</v>
      </c>
      <c r="F28" s="21">
        <f>266440-7000</f>
        <v>259440</v>
      </c>
      <c r="G28" s="21"/>
      <c r="H28" s="9">
        <f t="shared" si="0"/>
        <v>75200</v>
      </c>
      <c r="I28" s="104">
        <f t="shared" si="3"/>
        <v>144.23529411764707</v>
      </c>
      <c r="J28" s="119">
        <f t="shared" si="4"/>
        <v>0.33361134278565469</v>
      </c>
      <c r="M28" s="1"/>
    </row>
    <row r="29" spans="1:13" ht="32.25" customHeight="1" x14ac:dyDescent="0.2">
      <c r="A29" s="89" t="s">
        <v>26</v>
      </c>
      <c r="B29" s="79" t="s">
        <v>36</v>
      </c>
      <c r="C29" s="8">
        <v>27000</v>
      </c>
      <c r="D29" s="21">
        <v>27000</v>
      </c>
      <c r="E29" s="21">
        <v>65200</v>
      </c>
      <c r="F29" s="21">
        <v>65183.65</v>
      </c>
      <c r="G29" s="21"/>
      <c r="H29" s="9">
        <f t="shared" si="0"/>
        <v>38200</v>
      </c>
      <c r="I29" s="104">
        <f t="shared" si="3"/>
        <v>241.4814814814815</v>
      </c>
      <c r="J29" s="119">
        <f t="shared" si="4"/>
        <v>8.870905199683804E-2</v>
      </c>
    </row>
    <row r="30" spans="1:13" ht="32.25" customHeight="1" x14ac:dyDescent="0.2">
      <c r="A30" s="89" t="s">
        <v>37</v>
      </c>
      <c r="B30" s="79" t="s">
        <v>38</v>
      </c>
      <c r="C30" s="8">
        <f>40000-3079</f>
        <v>36921</v>
      </c>
      <c r="D30" s="21">
        <v>40000</v>
      </c>
      <c r="E30" s="21">
        <v>12600</v>
      </c>
      <c r="F30" s="21">
        <f>5550.81+7000</f>
        <v>12550.810000000001</v>
      </c>
      <c r="G30" s="21"/>
      <c r="H30" s="9">
        <f t="shared" si="0"/>
        <v>-27400</v>
      </c>
      <c r="I30" s="104">
        <f t="shared" si="3"/>
        <v>31.5</v>
      </c>
      <c r="J30" s="119">
        <f t="shared" si="4"/>
        <v>1.7143160355217166E-2</v>
      </c>
    </row>
    <row r="31" spans="1:13" ht="32.25" customHeight="1" thickBot="1" x14ac:dyDescent="0.25">
      <c r="A31" s="91" t="s">
        <v>39</v>
      </c>
      <c r="B31" s="80" t="s">
        <v>61</v>
      </c>
      <c r="C31" s="22">
        <v>3000</v>
      </c>
      <c r="D31" s="23">
        <v>5000</v>
      </c>
      <c r="E31" s="23">
        <v>20550</v>
      </c>
      <c r="F31" s="23">
        <f>12828.17+7700</f>
        <v>20528.169999999998</v>
      </c>
      <c r="G31" s="23"/>
      <c r="H31" s="24">
        <f t="shared" si="0"/>
        <v>15550</v>
      </c>
      <c r="I31" s="105">
        <f t="shared" si="3"/>
        <v>411.00000000000006</v>
      </c>
      <c r="J31" s="120">
        <f t="shared" si="4"/>
        <v>2.7959678198389903E-2</v>
      </c>
    </row>
    <row r="32" spans="1:13" ht="32.25" customHeight="1" thickBot="1" x14ac:dyDescent="0.25">
      <c r="A32" s="92" t="s">
        <v>40</v>
      </c>
      <c r="B32" s="70" t="s">
        <v>41</v>
      </c>
      <c r="C32" s="25">
        <f>C33+C36</f>
        <v>38000</v>
      </c>
      <c r="D32" s="25">
        <f>D36+D33</f>
        <v>54000</v>
      </c>
      <c r="E32" s="25">
        <f>E33+E36</f>
        <v>47000</v>
      </c>
      <c r="F32" s="25">
        <f>F33+F36</f>
        <v>46865.5</v>
      </c>
      <c r="G32" s="155">
        <f>F32/E32</f>
        <v>0.99713829787234043</v>
      </c>
      <c r="H32" s="29">
        <f t="shared" si="0"/>
        <v>-7000</v>
      </c>
      <c r="I32" s="106">
        <f t="shared" si="3"/>
        <v>87.037037037037038</v>
      </c>
      <c r="J32" s="123">
        <f t="shared" si="4"/>
        <v>6.3946709261524348E-2</v>
      </c>
    </row>
    <row r="33" spans="1:10" ht="32.25" customHeight="1" x14ac:dyDescent="0.2">
      <c r="A33" s="93" t="s">
        <v>62</v>
      </c>
      <c r="B33" s="81" t="s">
        <v>4</v>
      </c>
      <c r="C33" s="26">
        <f>SUM(C34:C35)</f>
        <v>9000</v>
      </c>
      <c r="D33" s="27">
        <v>9000</v>
      </c>
      <c r="E33" s="27">
        <f>E35</f>
        <v>6800</v>
      </c>
      <c r="F33" s="27">
        <f>F34+F35</f>
        <v>5714.25</v>
      </c>
      <c r="G33" s="156">
        <f>F33/E33</f>
        <v>0.84033088235294118</v>
      </c>
      <c r="H33" s="30">
        <f t="shared" si="0"/>
        <v>-2200</v>
      </c>
      <c r="I33" s="50">
        <f t="shared" si="3"/>
        <v>75.555555555555557</v>
      </c>
      <c r="J33" s="121">
        <f t="shared" si="4"/>
        <v>9.2518643186886296E-3</v>
      </c>
    </row>
    <row r="34" spans="1:10" ht="32.25" customHeight="1" x14ac:dyDescent="0.2">
      <c r="A34" s="89" t="s">
        <v>30</v>
      </c>
      <c r="B34" s="74" t="s">
        <v>42</v>
      </c>
      <c r="C34" s="8">
        <v>3000</v>
      </c>
      <c r="D34" s="21">
        <v>3000</v>
      </c>
      <c r="E34" s="21"/>
      <c r="F34" s="21"/>
      <c r="G34" s="21"/>
      <c r="H34" s="9">
        <f t="shared" si="0"/>
        <v>-3000</v>
      </c>
      <c r="I34" s="52">
        <f t="shared" si="3"/>
        <v>0</v>
      </c>
      <c r="J34" s="119">
        <f t="shared" si="4"/>
        <v>0</v>
      </c>
    </row>
    <row r="35" spans="1:10" ht="32.25" customHeight="1" x14ac:dyDescent="0.2">
      <c r="A35" s="89" t="s">
        <v>32</v>
      </c>
      <c r="B35" s="74" t="s">
        <v>43</v>
      </c>
      <c r="C35" s="8">
        <v>6000</v>
      </c>
      <c r="D35" s="21">
        <v>6000</v>
      </c>
      <c r="E35" s="21">
        <v>6800</v>
      </c>
      <c r="F35" s="21">
        <f>575+5139.25</f>
        <v>5714.25</v>
      </c>
      <c r="G35" s="21"/>
      <c r="H35" s="9">
        <f t="shared" si="0"/>
        <v>800</v>
      </c>
      <c r="I35" s="52">
        <f t="shared" si="3"/>
        <v>113.33333333333333</v>
      </c>
      <c r="J35" s="119">
        <f t="shared" si="4"/>
        <v>9.2518643186886296E-3</v>
      </c>
    </row>
    <row r="36" spans="1:10" ht="32.25" customHeight="1" x14ac:dyDescent="0.2">
      <c r="A36" s="93" t="s">
        <v>64</v>
      </c>
      <c r="B36" s="78" t="s">
        <v>3</v>
      </c>
      <c r="C36" s="6">
        <f>SUM(C37:C40)</f>
        <v>29000</v>
      </c>
      <c r="D36" s="28">
        <f>D40+D39+D38+D37</f>
        <v>45000</v>
      </c>
      <c r="E36" s="28">
        <f>E39+E41</f>
        <v>40200</v>
      </c>
      <c r="F36" s="28">
        <f>F37+F38+F39+F40+F41</f>
        <v>41151.25</v>
      </c>
      <c r="G36" s="157">
        <f>F36/E36</f>
        <v>1.023662935323383</v>
      </c>
      <c r="H36" s="7">
        <f t="shared" si="0"/>
        <v>-4800</v>
      </c>
      <c r="I36" s="51">
        <f t="shared" si="3"/>
        <v>89.333333333333329</v>
      </c>
      <c r="J36" s="122">
        <f t="shared" si="4"/>
        <v>5.4694844942835726E-2</v>
      </c>
    </row>
    <row r="37" spans="1:10" ht="32.25" customHeight="1" x14ac:dyDescent="0.2">
      <c r="A37" s="89" t="s">
        <v>24</v>
      </c>
      <c r="B37" s="74" t="s">
        <v>44</v>
      </c>
      <c r="C37" s="8">
        <v>15000</v>
      </c>
      <c r="D37" s="21">
        <v>30000</v>
      </c>
      <c r="E37" s="21"/>
      <c r="F37" s="21"/>
      <c r="G37" s="21"/>
      <c r="H37" s="9">
        <f t="shared" si="0"/>
        <v>-30000</v>
      </c>
      <c r="I37" s="52">
        <f t="shared" si="3"/>
        <v>0</v>
      </c>
      <c r="J37" s="119">
        <f t="shared" si="4"/>
        <v>0</v>
      </c>
    </row>
    <row r="38" spans="1:10" ht="32.25" customHeight="1" x14ac:dyDescent="0.2">
      <c r="A38" s="89" t="s">
        <v>26</v>
      </c>
      <c r="B38" s="74" t="s">
        <v>45</v>
      </c>
      <c r="C38" s="8">
        <v>3000</v>
      </c>
      <c r="D38" s="21">
        <v>3000</v>
      </c>
      <c r="E38" s="21"/>
      <c r="F38" s="21"/>
      <c r="G38" s="21"/>
      <c r="H38" s="9">
        <f t="shared" si="0"/>
        <v>-3000</v>
      </c>
      <c r="I38" s="52">
        <f t="shared" si="3"/>
        <v>0</v>
      </c>
      <c r="J38" s="119">
        <f t="shared" si="4"/>
        <v>0</v>
      </c>
    </row>
    <row r="39" spans="1:10" ht="32.25" customHeight="1" x14ac:dyDescent="0.2">
      <c r="A39" s="89" t="s">
        <v>37</v>
      </c>
      <c r="B39" s="74" t="s">
        <v>46</v>
      </c>
      <c r="C39" s="8">
        <v>10000</v>
      </c>
      <c r="D39" s="21">
        <v>10000</v>
      </c>
      <c r="E39" s="21">
        <v>15500</v>
      </c>
      <c r="F39" s="21">
        <f>2625+12857.5</f>
        <v>15482.5</v>
      </c>
      <c r="G39" s="21"/>
      <c r="H39" s="9">
        <f t="shared" si="0"/>
        <v>5500</v>
      </c>
      <c r="I39" s="52">
        <f t="shared" si="3"/>
        <v>155</v>
      </c>
      <c r="J39" s="119">
        <f t="shared" si="4"/>
        <v>2.1088808373481437E-2</v>
      </c>
    </row>
    <row r="40" spans="1:10" ht="32.25" customHeight="1" x14ac:dyDescent="0.2">
      <c r="A40" s="89" t="s">
        <v>39</v>
      </c>
      <c r="B40" s="74" t="s">
        <v>47</v>
      </c>
      <c r="C40" s="8">
        <v>1000</v>
      </c>
      <c r="D40" s="21">
        <v>2000</v>
      </c>
      <c r="E40" s="21"/>
      <c r="F40" s="21"/>
      <c r="G40" s="21"/>
      <c r="H40" s="9">
        <f t="shared" si="0"/>
        <v>-2000</v>
      </c>
      <c r="I40" s="52">
        <f t="shared" si="3"/>
        <v>0</v>
      </c>
      <c r="J40" s="119">
        <f t="shared" si="4"/>
        <v>0</v>
      </c>
    </row>
    <row r="41" spans="1:10" ht="32.25" customHeight="1" thickBot="1" x14ac:dyDescent="0.25">
      <c r="A41" s="89" t="s">
        <v>146</v>
      </c>
      <c r="B41" s="74" t="s">
        <v>147</v>
      </c>
      <c r="C41" s="8"/>
      <c r="D41" s="21"/>
      <c r="E41" s="21">
        <v>24700</v>
      </c>
      <c r="F41" s="21">
        <f>24668.75+1000</f>
        <v>25668.75</v>
      </c>
      <c r="G41" s="21"/>
      <c r="H41" s="9">
        <f t="shared" si="0"/>
        <v>24700</v>
      </c>
      <c r="I41" s="52"/>
      <c r="J41" s="119"/>
    </row>
    <row r="42" spans="1:10" ht="32.25" customHeight="1" thickBot="1" x14ac:dyDescent="0.25">
      <c r="A42" s="90" t="s">
        <v>48</v>
      </c>
      <c r="B42" s="76" t="s">
        <v>5</v>
      </c>
      <c r="C42" s="66">
        <v>10000</v>
      </c>
      <c r="D42" s="97">
        <v>24000</v>
      </c>
      <c r="E42" s="97">
        <f>E43</f>
        <v>2100</v>
      </c>
      <c r="F42" s="97">
        <f>F43</f>
        <v>2639.85</v>
      </c>
      <c r="G42" s="153">
        <f>F42/E42</f>
        <v>1.2570714285714286</v>
      </c>
      <c r="H42" s="68">
        <f t="shared" si="0"/>
        <v>-21900</v>
      </c>
      <c r="I42" s="108">
        <f t="shared" si="3"/>
        <v>8.75</v>
      </c>
      <c r="J42" s="116">
        <f t="shared" si="4"/>
        <v>2.8571933925361946E-3</v>
      </c>
    </row>
    <row r="43" spans="1:10" ht="32.25" customHeight="1" thickBot="1" x14ac:dyDescent="0.25">
      <c r="A43" s="89" t="s">
        <v>62</v>
      </c>
      <c r="B43" s="82" t="s">
        <v>49</v>
      </c>
      <c r="C43" s="31">
        <v>10000</v>
      </c>
      <c r="D43" s="32">
        <v>24000</v>
      </c>
      <c r="E43" s="32">
        <v>2100</v>
      </c>
      <c r="F43" s="32">
        <f>2422.35+217.5</f>
        <v>2639.85</v>
      </c>
      <c r="G43" s="32"/>
      <c r="H43" s="33">
        <f t="shared" si="0"/>
        <v>-21900</v>
      </c>
      <c r="I43" s="109">
        <f t="shared" si="3"/>
        <v>8.75</v>
      </c>
      <c r="J43" s="124">
        <f t="shared" si="4"/>
        <v>2.8571933925361946E-3</v>
      </c>
    </row>
    <row r="44" spans="1:10" ht="32.25" customHeight="1" thickBot="1" x14ac:dyDescent="0.25">
      <c r="A44" s="90" t="s">
        <v>50</v>
      </c>
      <c r="B44" s="76" t="s">
        <v>6</v>
      </c>
      <c r="C44" s="66">
        <v>3000</v>
      </c>
      <c r="D44" s="97">
        <v>3000</v>
      </c>
      <c r="E44" s="97">
        <f>E45</f>
        <v>0</v>
      </c>
      <c r="F44" s="97">
        <f>F45</f>
        <v>0</v>
      </c>
      <c r="G44" s="153" t="s">
        <v>150</v>
      </c>
      <c r="H44" s="68">
        <f t="shared" si="0"/>
        <v>-3000</v>
      </c>
      <c r="I44" s="108">
        <f t="shared" si="3"/>
        <v>0</v>
      </c>
      <c r="J44" s="116">
        <f t="shared" si="4"/>
        <v>0</v>
      </c>
    </row>
    <row r="45" spans="1:10" ht="32.25" customHeight="1" thickBot="1" x14ac:dyDescent="0.25">
      <c r="A45" s="89" t="s">
        <v>62</v>
      </c>
      <c r="B45" s="82" t="s">
        <v>67</v>
      </c>
      <c r="C45" s="31">
        <v>3000</v>
      </c>
      <c r="D45" s="32">
        <v>3000</v>
      </c>
      <c r="E45" s="32">
        <v>0</v>
      </c>
      <c r="F45" s="32">
        <v>0</v>
      </c>
      <c r="G45" s="32"/>
      <c r="H45" s="33">
        <f t="shared" si="0"/>
        <v>-3000</v>
      </c>
      <c r="I45" s="109">
        <f t="shared" si="3"/>
        <v>0</v>
      </c>
      <c r="J45" s="124">
        <f t="shared" si="4"/>
        <v>0</v>
      </c>
    </row>
    <row r="46" spans="1:10" ht="32.25" customHeight="1" thickBot="1" x14ac:dyDescent="0.25">
      <c r="A46" s="90" t="s">
        <v>51</v>
      </c>
      <c r="B46" s="76" t="s">
        <v>52</v>
      </c>
      <c r="C46" s="66">
        <f>SUM(C47:C49)</f>
        <v>14000</v>
      </c>
      <c r="D46" s="97">
        <f>D49+D48+D47</f>
        <v>14000</v>
      </c>
      <c r="E46" s="97">
        <f>E47+E48+E49</f>
        <v>23950</v>
      </c>
      <c r="F46" s="97">
        <f>F47+F48</f>
        <v>23872</v>
      </c>
      <c r="G46" s="153">
        <f>F46/E46</f>
        <v>0.99674321503131524</v>
      </c>
      <c r="H46" s="68">
        <f t="shared" si="0"/>
        <v>9950</v>
      </c>
      <c r="I46" s="108">
        <f t="shared" si="3"/>
        <v>171.07142857142856</v>
      </c>
      <c r="J46" s="116">
        <f t="shared" si="4"/>
        <v>3.2585610357734218E-2</v>
      </c>
    </row>
    <row r="47" spans="1:10" ht="32.25" customHeight="1" x14ac:dyDescent="0.2">
      <c r="A47" s="89" t="s">
        <v>62</v>
      </c>
      <c r="B47" s="77" t="s">
        <v>53</v>
      </c>
      <c r="C47" s="18">
        <v>3000</v>
      </c>
      <c r="D47" s="19">
        <v>3000</v>
      </c>
      <c r="E47" s="19">
        <v>16950</v>
      </c>
      <c r="F47" s="19">
        <f>7350+9375+200</f>
        <v>16925</v>
      </c>
      <c r="G47" s="19"/>
      <c r="H47" s="20">
        <f t="shared" si="0"/>
        <v>13950</v>
      </c>
      <c r="I47" s="110">
        <f t="shared" si="3"/>
        <v>565</v>
      </c>
      <c r="J47" s="125">
        <f t="shared" si="4"/>
        <v>2.3061632382613571E-2</v>
      </c>
    </row>
    <row r="48" spans="1:10" ht="32.25" customHeight="1" x14ac:dyDescent="0.2">
      <c r="A48" s="89" t="s">
        <v>64</v>
      </c>
      <c r="B48" s="74" t="s">
        <v>54</v>
      </c>
      <c r="C48" s="8">
        <v>4000</v>
      </c>
      <c r="D48" s="21">
        <v>4000</v>
      </c>
      <c r="E48" s="21">
        <v>7000</v>
      </c>
      <c r="F48" s="21">
        <f>4690+1965+292</f>
        <v>6947</v>
      </c>
      <c r="G48" s="21"/>
      <c r="H48" s="9">
        <f t="shared" si="0"/>
        <v>3000</v>
      </c>
      <c r="I48" s="104">
        <f t="shared" si="3"/>
        <v>175</v>
      </c>
      <c r="J48" s="119">
        <f t="shared" si="4"/>
        <v>9.5239779751206486E-3</v>
      </c>
    </row>
    <row r="49" spans="1:13" ht="32.25" customHeight="1" thickBot="1" x14ac:dyDescent="0.25">
      <c r="A49" s="89" t="s">
        <v>65</v>
      </c>
      <c r="B49" s="75" t="s">
        <v>55</v>
      </c>
      <c r="C49" s="22">
        <v>7000</v>
      </c>
      <c r="D49" s="23">
        <v>7000</v>
      </c>
      <c r="E49" s="23">
        <v>0</v>
      </c>
      <c r="F49" s="23">
        <v>0</v>
      </c>
      <c r="G49" s="23"/>
      <c r="H49" s="24">
        <f t="shared" si="0"/>
        <v>-7000</v>
      </c>
      <c r="I49" s="107">
        <f t="shared" si="3"/>
        <v>0</v>
      </c>
      <c r="J49" s="120">
        <f t="shared" si="4"/>
        <v>0</v>
      </c>
    </row>
    <row r="50" spans="1:13" ht="32.25" customHeight="1" thickBot="1" x14ac:dyDescent="0.25">
      <c r="A50" s="90" t="s">
        <v>56</v>
      </c>
      <c r="B50" s="76" t="s">
        <v>57</v>
      </c>
      <c r="C50" s="66">
        <v>66000</v>
      </c>
      <c r="D50" s="97">
        <v>69000</v>
      </c>
      <c r="E50" s="97">
        <v>77000</v>
      </c>
      <c r="F50" s="97">
        <v>76246</v>
      </c>
      <c r="G50" s="153">
        <f>F50/E50</f>
        <v>0.9902077922077922</v>
      </c>
      <c r="H50" s="68">
        <f>E50-D50</f>
        <v>8000</v>
      </c>
      <c r="I50" s="108">
        <f t="shared" si="3"/>
        <v>111.59420289855073</v>
      </c>
      <c r="J50" s="116">
        <f t="shared" si="4"/>
        <v>0.10476375772632714</v>
      </c>
    </row>
    <row r="51" spans="1:13" ht="32.25" customHeight="1" thickBot="1" x14ac:dyDescent="0.25">
      <c r="A51" s="98" t="s">
        <v>58</v>
      </c>
      <c r="B51" s="76" t="s">
        <v>125</v>
      </c>
      <c r="C51" s="66">
        <v>38079</v>
      </c>
      <c r="D51" s="97">
        <v>0</v>
      </c>
      <c r="E51" s="97">
        <v>71587</v>
      </c>
      <c r="F51" s="97">
        <v>71587</v>
      </c>
      <c r="G51" s="153">
        <f>F51/E51</f>
        <v>1</v>
      </c>
      <c r="H51" s="68">
        <f t="shared" ref="H51:H52" si="5">E51-D51</f>
        <v>71587</v>
      </c>
      <c r="I51" s="108"/>
      <c r="J51" s="116">
        <f t="shared" si="4"/>
        <v>9.7399001614994554E-2</v>
      </c>
    </row>
    <row r="52" spans="1:13" ht="32.25" customHeight="1" thickBot="1" x14ac:dyDescent="0.25">
      <c r="A52" s="94"/>
      <c r="B52" s="83" t="s">
        <v>59</v>
      </c>
      <c r="C52" s="34">
        <f>C51+C50+C46+C44+C42+C36+C33+C27+C24+C14</f>
        <v>526000</v>
      </c>
      <c r="D52" s="35">
        <f>D14+D23+D32+D44+D46+D50+D51+D42</f>
        <v>541000</v>
      </c>
      <c r="E52" s="35">
        <f>E14+E23+E32+E42+E44+E46+E50+E51</f>
        <v>734987</v>
      </c>
      <c r="F52" s="35">
        <f>F14+F23+F32+F42+F44+F46+F50+F51</f>
        <v>745988.80999999994</v>
      </c>
      <c r="G52" s="158">
        <f>F52/E52</f>
        <v>1.0149687137323518</v>
      </c>
      <c r="H52" s="36">
        <f t="shared" si="5"/>
        <v>193987</v>
      </c>
      <c r="I52" s="111">
        <f t="shared" si="3"/>
        <v>135.85711645101662</v>
      </c>
      <c r="J52" s="126">
        <f t="shared" si="4"/>
        <v>1</v>
      </c>
      <c r="M52" s="1"/>
    </row>
    <row r="53" spans="1:13" ht="32.25" customHeight="1" thickBot="1" x14ac:dyDescent="0.25">
      <c r="A53" s="95"/>
      <c r="B53" s="84" t="s">
        <v>60</v>
      </c>
      <c r="C53" s="37"/>
      <c r="D53" s="38"/>
      <c r="E53" s="38">
        <f>E12-E52</f>
        <v>0</v>
      </c>
      <c r="F53" s="38">
        <f>F12-F52</f>
        <v>-119477.34999999998</v>
      </c>
      <c r="G53" s="38"/>
      <c r="H53" s="39"/>
      <c r="I53" s="39"/>
      <c r="J53" s="40"/>
    </row>
    <row r="55" spans="1:13" ht="32.25" customHeight="1" x14ac:dyDescent="0.2">
      <c r="F55" s="150"/>
    </row>
    <row r="56" spans="1:13" ht="32.25" customHeight="1" x14ac:dyDescent="0.2">
      <c r="F56" s="150"/>
    </row>
    <row r="57" spans="1:13" ht="32.25" customHeight="1" x14ac:dyDescent="0.2">
      <c r="C57" s="1"/>
      <c r="D57" s="1"/>
      <c r="E57" s="1"/>
      <c r="F57" s="1"/>
      <c r="G57" s="1"/>
      <c r="H57" s="1"/>
    </row>
  </sheetData>
  <mergeCells count="1">
    <mergeCell ref="A1:J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98"/>
  <sheetViews>
    <sheetView workbookViewId="0">
      <selection activeCell="G28" sqref="G28"/>
    </sheetView>
  </sheetViews>
  <sheetFormatPr defaultRowHeight="15.75" x14ac:dyDescent="0.2"/>
  <cols>
    <col min="1" max="2" width="9.33203125" style="64"/>
    <col min="3" max="3" width="49.83203125" style="64" bestFit="1" customWidth="1"/>
    <col min="4" max="4" width="21.6640625" style="64" bestFit="1" customWidth="1"/>
    <col min="5" max="5" width="17.5" style="64" customWidth="1"/>
    <col min="6" max="6" width="26.5" style="64" bestFit="1" customWidth="1"/>
    <col min="7" max="7" width="43.33203125" style="64" customWidth="1"/>
    <col min="8" max="8" width="18.6640625" style="64" bestFit="1" customWidth="1"/>
    <col min="9" max="16384" width="9.33203125" style="64"/>
  </cols>
  <sheetData>
    <row r="2" spans="3:8" x14ac:dyDescent="0.2">
      <c r="F2" s="64" t="s">
        <v>79</v>
      </c>
      <c r="H2" s="64" t="s">
        <v>82</v>
      </c>
    </row>
    <row r="3" spans="3:8" x14ac:dyDescent="0.2">
      <c r="C3" s="63" t="s">
        <v>78</v>
      </c>
      <c r="D3" s="63"/>
      <c r="E3" s="65">
        <v>78139.509999999995</v>
      </c>
      <c r="F3" s="64">
        <f>2*(2195.61+8498.63)</f>
        <v>21388.48</v>
      </c>
      <c r="G3" s="160" t="s">
        <v>80</v>
      </c>
      <c r="H3" s="63">
        <f>E3+F3</f>
        <v>99527.989999999991</v>
      </c>
    </row>
    <row r="4" spans="3:8" x14ac:dyDescent="0.2">
      <c r="C4" s="63" t="s">
        <v>81</v>
      </c>
      <c r="D4" s="63"/>
      <c r="E4" s="63">
        <f>12372.74+1356.98</f>
        <v>13729.72</v>
      </c>
      <c r="F4" s="64">
        <f>(2*186.68)+(2*(1646.71+54.89))</f>
        <v>3776.5600000000004</v>
      </c>
      <c r="G4" s="160"/>
      <c r="H4" s="63">
        <f>E4+F4</f>
        <v>17506.28</v>
      </c>
    </row>
    <row r="5" spans="3:8" x14ac:dyDescent="0.2">
      <c r="C5" s="63" t="s">
        <v>135</v>
      </c>
      <c r="D5" s="63"/>
      <c r="E5" s="63">
        <v>1684.63</v>
      </c>
      <c r="F5" s="64">
        <f>283.78*2</f>
        <v>567.55999999999995</v>
      </c>
      <c r="H5" s="63">
        <f>E5+F5</f>
        <v>2252.19</v>
      </c>
    </row>
    <row r="6" spans="3:8" x14ac:dyDescent="0.2">
      <c r="C6" s="63"/>
      <c r="D6" s="63"/>
      <c r="E6" s="63"/>
      <c r="H6" s="63"/>
    </row>
    <row r="7" spans="3:8" x14ac:dyDescent="0.2">
      <c r="C7" s="63" t="s">
        <v>83</v>
      </c>
      <c r="D7" s="63"/>
      <c r="E7" s="63">
        <v>5950</v>
      </c>
      <c r="H7" s="63">
        <v>5950</v>
      </c>
    </row>
    <row r="8" spans="3:8" x14ac:dyDescent="0.2">
      <c r="C8" s="63" t="s">
        <v>84</v>
      </c>
      <c r="D8" s="63"/>
      <c r="E8" s="63">
        <v>2021.25</v>
      </c>
      <c r="H8" s="63">
        <v>2021.25</v>
      </c>
    </row>
    <row r="9" spans="3:8" x14ac:dyDescent="0.2">
      <c r="C9" s="63"/>
      <c r="D9" s="63"/>
      <c r="E9" s="63"/>
      <c r="H9" s="63"/>
    </row>
    <row r="10" spans="3:8" x14ac:dyDescent="0.2">
      <c r="C10" s="63" t="s">
        <v>85</v>
      </c>
      <c r="D10" s="63" t="s">
        <v>87</v>
      </c>
      <c r="E10" s="63">
        <f>451.32+8596.52+398.87+11818.43+39.89+1181.85</f>
        <v>22486.879999999997</v>
      </c>
      <c r="H10" s="63">
        <f>E10</f>
        <v>22486.879999999997</v>
      </c>
    </row>
    <row r="11" spans="3:8" x14ac:dyDescent="0.2">
      <c r="C11" s="63" t="s">
        <v>85</v>
      </c>
      <c r="D11" s="63" t="s">
        <v>88</v>
      </c>
      <c r="E11" s="63">
        <f>54.82+730.99+207.06+3943.97+138.04+2629.31+328.53+9734.2+9617.62+324.59+277.62+8225.66+76.75+1023.39</f>
        <v>37312.550000000003</v>
      </c>
      <c r="H11" s="63"/>
    </row>
    <row r="12" spans="3:8" x14ac:dyDescent="0.2">
      <c r="C12" s="63" t="s">
        <v>85</v>
      </c>
      <c r="D12" s="63" t="s">
        <v>92</v>
      </c>
      <c r="E12" s="63">
        <f>397.96+11791.34+113.97+1519.58</f>
        <v>13822.849999999999</v>
      </c>
      <c r="H12" s="63"/>
    </row>
    <row r="13" spans="3:8" x14ac:dyDescent="0.2">
      <c r="C13" s="63" t="s">
        <v>85</v>
      </c>
      <c r="D13" s="63" t="s">
        <v>91</v>
      </c>
      <c r="E13" s="63">
        <f>472.14+13989.28+199.44+5909.2+354.1+10491.96+358.98+10636.57</f>
        <v>42411.67</v>
      </c>
      <c r="H13" s="63"/>
    </row>
    <row r="14" spans="3:8" x14ac:dyDescent="0.2">
      <c r="C14" s="63" t="s">
        <v>85</v>
      </c>
      <c r="D14" s="63" t="s">
        <v>90</v>
      </c>
      <c r="E14" s="63">
        <f>725.7+21502.08</f>
        <v>22227.780000000002</v>
      </c>
      <c r="H14" s="63"/>
    </row>
    <row r="15" spans="3:8" x14ac:dyDescent="0.2">
      <c r="C15" s="63" t="s">
        <v>85</v>
      </c>
      <c r="D15" s="63" t="s">
        <v>89</v>
      </c>
      <c r="E15" s="63">
        <f>242.75+7192.71+51.73+1532.87+51.73+1532.87+51.73+1532.87</f>
        <v>12189.259999999998</v>
      </c>
      <c r="H15" s="63"/>
    </row>
    <row r="16" spans="3:8" x14ac:dyDescent="0.2">
      <c r="C16" s="64" t="s">
        <v>93</v>
      </c>
      <c r="D16" s="64" t="s">
        <v>88</v>
      </c>
      <c r="E16" s="63">
        <v>364</v>
      </c>
      <c r="H16" s="63"/>
    </row>
    <row r="17" spans="3:8" x14ac:dyDescent="0.2">
      <c r="C17" s="64" t="s">
        <v>86</v>
      </c>
      <c r="D17" s="64" t="s">
        <v>87</v>
      </c>
      <c r="E17" s="63">
        <v>316.8</v>
      </c>
      <c r="H17" s="63"/>
    </row>
    <row r="18" spans="3:8" x14ac:dyDescent="0.2">
      <c r="C18" s="64" t="s">
        <v>94</v>
      </c>
      <c r="D18" s="64" t="s">
        <v>88</v>
      </c>
      <c r="E18" s="63">
        <v>1925</v>
      </c>
      <c r="H18" s="63"/>
    </row>
    <row r="19" spans="3:8" x14ac:dyDescent="0.2">
      <c r="C19" s="64" t="s">
        <v>95</v>
      </c>
      <c r="D19" s="64" t="s">
        <v>88</v>
      </c>
      <c r="E19" s="63">
        <v>3290</v>
      </c>
      <c r="H19" s="63"/>
    </row>
    <row r="20" spans="3:8" x14ac:dyDescent="0.2">
      <c r="C20" s="64" t="s">
        <v>96</v>
      </c>
      <c r="D20" s="64" t="s">
        <v>97</v>
      </c>
      <c r="E20" s="63">
        <f>900+8300</f>
        <v>9200</v>
      </c>
      <c r="H20" s="63"/>
    </row>
    <row r="21" spans="3:8" x14ac:dyDescent="0.2">
      <c r="C21" s="64" t="s">
        <v>96</v>
      </c>
      <c r="D21" s="64" t="s">
        <v>91</v>
      </c>
      <c r="E21" s="63">
        <v>6875</v>
      </c>
      <c r="H21" s="63"/>
    </row>
    <row r="22" spans="3:8" x14ac:dyDescent="0.2">
      <c r="C22" s="64" t="s">
        <v>96</v>
      </c>
      <c r="D22" s="64" t="s">
        <v>92</v>
      </c>
      <c r="E22" s="63">
        <v>7500</v>
      </c>
      <c r="H22" s="63"/>
    </row>
    <row r="23" spans="3:8" x14ac:dyDescent="0.2">
      <c r="C23" s="64" t="s">
        <v>95</v>
      </c>
      <c r="D23" s="64" t="s">
        <v>87</v>
      </c>
      <c r="E23" s="63">
        <v>300</v>
      </c>
      <c r="H23" s="63"/>
    </row>
    <row r="24" spans="3:8" x14ac:dyDescent="0.2">
      <c r="C24" s="64" t="s">
        <v>98</v>
      </c>
      <c r="D24" s="64" t="s">
        <v>88</v>
      </c>
      <c r="E24" s="63">
        <v>10000</v>
      </c>
      <c r="H24" s="63"/>
    </row>
    <row r="25" spans="3:8" x14ac:dyDescent="0.2">
      <c r="C25" s="64" t="s">
        <v>85</v>
      </c>
      <c r="D25" s="64" t="s">
        <v>92</v>
      </c>
      <c r="E25" s="63">
        <v>35000</v>
      </c>
      <c r="H25" s="63"/>
    </row>
    <row r="26" spans="3:8" x14ac:dyDescent="0.2">
      <c r="C26" s="64" t="s">
        <v>99</v>
      </c>
      <c r="D26" s="64" t="s">
        <v>92</v>
      </c>
      <c r="E26" s="63">
        <v>1400</v>
      </c>
      <c r="H26" s="63"/>
    </row>
    <row r="27" spans="3:8" x14ac:dyDescent="0.2">
      <c r="C27" s="64" t="s">
        <v>100</v>
      </c>
      <c r="D27" s="64" t="s">
        <v>88</v>
      </c>
      <c r="E27" s="63">
        <v>2992.83</v>
      </c>
      <c r="H27" s="63"/>
    </row>
    <row r="28" spans="3:8" x14ac:dyDescent="0.2">
      <c r="C28" s="64" t="s">
        <v>100</v>
      </c>
      <c r="D28" s="64" t="s">
        <v>87</v>
      </c>
      <c r="E28" s="63">
        <v>2885.01</v>
      </c>
      <c r="H28" s="63"/>
    </row>
    <row r="29" spans="3:8" x14ac:dyDescent="0.2">
      <c r="C29" s="64" t="s">
        <v>101</v>
      </c>
      <c r="D29" s="64" t="s">
        <v>91</v>
      </c>
      <c r="E29" s="63">
        <v>2270</v>
      </c>
      <c r="H29" s="63"/>
    </row>
    <row r="30" spans="3:8" x14ac:dyDescent="0.2">
      <c r="C30" s="64" t="s">
        <v>101</v>
      </c>
      <c r="D30" s="64" t="s">
        <v>92</v>
      </c>
      <c r="E30" s="63">
        <v>1909</v>
      </c>
      <c r="H30" s="63"/>
    </row>
    <row r="31" spans="3:8" x14ac:dyDescent="0.2">
      <c r="C31" s="64" t="s">
        <v>101</v>
      </c>
      <c r="D31" s="64" t="s">
        <v>88</v>
      </c>
      <c r="E31" s="63">
        <v>611</v>
      </c>
      <c r="H31" s="63"/>
    </row>
    <row r="32" spans="3:8" x14ac:dyDescent="0.2">
      <c r="C32" s="64" t="s">
        <v>102</v>
      </c>
      <c r="D32" s="64" t="s">
        <v>91</v>
      </c>
      <c r="E32" s="63">
        <v>3102.23</v>
      </c>
      <c r="H32" s="63"/>
    </row>
    <row r="33" spans="3:8" x14ac:dyDescent="0.2">
      <c r="C33" s="64" t="s">
        <v>102</v>
      </c>
      <c r="D33" s="64" t="s">
        <v>92</v>
      </c>
      <c r="E33" s="63">
        <v>2656.25</v>
      </c>
      <c r="H33" s="63"/>
    </row>
    <row r="34" spans="3:8" x14ac:dyDescent="0.2">
      <c r="C34" s="64" t="s">
        <v>102</v>
      </c>
      <c r="D34" s="64" t="s">
        <v>88</v>
      </c>
      <c r="E34" s="63">
        <f>736.96+40+1343.88</f>
        <v>2120.84</v>
      </c>
      <c r="H34" s="63"/>
    </row>
    <row r="35" spans="3:8" x14ac:dyDescent="0.2">
      <c r="E35" s="63"/>
      <c r="H35" s="63"/>
    </row>
    <row r="36" spans="3:8" x14ac:dyDescent="0.2">
      <c r="C36" s="64" t="s">
        <v>103</v>
      </c>
      <c r="D36" s="64" t="s">
        <v>104</v>
      </c>
      <c r="E36" s="63">
        <v>1710.42</v>
      </c>
    </row>
    <row r="37" spans="3:8" x14ac:dyDescent="0.2">
      <c r="C37" s="64" t="s">
        <v>105</v>
      </c>
      <c r="D37" s="64" t="s">
        <v>104</v>
      </c>
      <c r="E37" s="63">
        <v>3400</v>
      </c>
    </row>
    <row r="38" spans="3:8" x14ac:dyDescent="0.2">
      <c r="C38" s="64" t="s">
        <v>106</v>
      </c>
      <c r="D38" s="64" t="s">
        <v>104</v>
      </c>
      <c r="E38" s="63">
        <v>21800</v>
      </c>
    </row>
    <row r="39" spans="3:8" x14ac:dyDescent="0.2">
      <c r="C39" s="64" t="s">
        <v>100</v>
      </c>
      <c r="D39" s="64" t="s">
        <v>104</v>
      </c>
      <c r="E39" s="63">
        <v>6803.19</v>
      </c>
    </row>
    <row r="40" spans="3:8" x14ac:dyDescent="0.2">
      <c r="C40" s="64" t="s">
        <v>101</v>
      </c>
      <c r="D40" s="64" t="s">
        <v>104</v>
      </c>
      <c r="E40" s="63">
        <v>4760</v>
      </c>
    </row>
    <row r="41" spans="3:8" x14ac:dyDescent="0.2">
      <c r="C41" s="64" t="s">
        <v>103</v>
      </c>
      <c r="D41" s="64" t="s">
        <v>107</v>
      </c>
      <c r="E41" s="63">
        <v>3047.32</v>
      </c>
    </row>
    <row r="42" spans="3:8" x14ac:dyDescent="0.2">
      <c r="C42" s="64" t="s">
        <v>100</v>
      </c>
      <c r="D42" s="64" t="s">
        <v>107</v>
      </c>
      <c r="E42" s="63">
        <v>13004.4</v>
      </c>
    </row>
    <row r="43" spans="3:8" x14ac:dyDescent="0.2">
      <c r="C43" s="64" t="s">
        <v>108</v>
      </c>
      <c r="D43" s="64" t="s">
        <v>109</v>
      </c>
      <c r="E43" s="63">
        <v>187.5</v>
      </c>
    </row>
    <row r="44" spans="3:8" x14ac:dyDescent="0.2">
      <c r="C44" s="64" t="s">
        <v>106</v>
      </c>
      <c r="D44" s="64" t="s">
        <v>109</v>
      </c>
      <c r="E44" s="63">
        <v>4000</v>
      </c>
    </row>
    <row r="45" spans="3:8" x14ac:dyDescent="0.2">
      <c r="C45" s="64" t="s">
        <v>100</v>
      </c>
      <c r="D45" s="64" t="s">
        <v>109</v>
      </c>
      <c r="E45" s="63">
        <v>1004.82</v>
      </c>
    </row>
    <row r="46" spans="3:8" x14ac:dyDescent="0.2">
      <c r="C46" s="64" t="s">
        <v>101</v>
      </c>
      <c r="D46" s="64" t="s">
        <v>109</v>
      </c>
      <c r="E46" s="63">
        <v>5466</v>
      </c>
    </row>
    <row r="47" spans="3:8" x14ac:dyDescent="0.2">
      <c r="E47" s="63"/>
    </row>
    <row r="48" spans="3:8" x14ac:dyDescent="0.2">
      <c r="C48" s="64" t="s">
        <v>110</v>
      </c>
      <c r="D48" s="64" t="s">
        <v>38</v>
      </c>
      <c r="E48" s="63">
        <v>5550.81</v>
      </c>
    </row>
    <row r="49" spans="3:8" x14ac:dyDescent="0.2">
      <c r="C49" s="64" t="s">
        <v>111</v>
      </c>
      <c r="D49" s="64" t="s">
        <v>38</v>
      </c>
      <c r="E49" s="63">
        <v>7000</v>
      </c>
    </row>
    <row r="50" spans="3:8" x14ac:dyDescent="0.2">
      <c r="E50" s="63"/>
    </row>
    <row r="51" spans="3:8" x14ac:dyDescent="0.2">
      <c r="C51" s="64" t="s">
        <v>112</v>
      </c>
      <c r="D51" s="64" t="s">
        <v>113</v>
      </c>
      <c r="E51" s="63">
        <v>12828.17</v>
      </c>
    </row>
    <row r="52" spans="3:8" x14ac:dyDescent="0.2">
      <c r="C52" s="64" t="s">
        <v>114</v>
      </c>
      <c r="D52" s="64" t="s">
        <v>113</v>
      </c>
      <c r="E52" s="63">
        <v>5200</v>
      </c>
    </row>
    <row r="53" spans="3:8" x14ac:dyDescent="0.2">
      <c r="C53" s="64" t="s">
        <v>115</v>
      </c>
      <c r="D53" s="64" t="s">
        <v>116</v>
      </c>
      <c r="E53" s="63">
        <v>2500</v>
      </c>
    </row>
    <row r="54" spans="3:8" x14ac:dyDescent="0.2">
      <c r="E54" s="63"/>
    </row>
    <row r="55" spans="3:8" x14ac:dyDescent="0.2">
      <c r="C55" s="64" t="s">
        <v>100</v>
      </c>
      <c r="D55" s="64" t="s">
        <v>117</v>
      </c>
      <c r="E55" s="63">
        <v>721.95</v>
      </c>
    </row>
    <row r="56" spans="3:8" x14ac:dyDescent="0.2">
      <c r="C56" s="64" t="s">
        <v>100</v>
      </c>
      <c r="D56" s="64" t="s">
        <v>118</v>
      </c>
      <c r="E56" s="63">
        <v>1147.3499999999999</v>
      </c>
    </row>
    <row r="57" spans="3:8" x14ac:dyDescent="0.2">
      <c r="C57" s="64" t="s">
        <v>102</v>
      </c>
      <c r="D57" s="64" t="s">
        <v>118</v>
      </c>
      <c r="E57" s="63">
        <v>217.5</v>
      </c>
    </row>
    <row r="58" spans="3:8" x14ac:dyDescent="0.2">
      <c r="E58" s="63"/>
    </row>
    <row r="59" spans="3:8" x14ac:dyDescent="0.2">
      <c r="C59" s="64" t="s">
        <v>119</v>
      </c>
      <c r="D59" s="64" t="s">
        <v>120</v>
      </c>
      <c r="E59" s="63">
        <v>5512.5</v>
      </c>
      <c r="F59" s="64">
        <f>612.5*3</f>
        <v>1837.5</v>
      </c>
      <c r="G59" s="64" t="s">
        <v>121</v>
      </c>
      <c r="H59" s="63">
        <f>E59+F59</f>
        <v>7350</v>
      </c>
    </row>
    <row r="60" spans="3:8" x14ac:dyDescent="0.2">
      <c r="C60" s="64" t="s">
        <v>122</v>
      </c>
      <c r="D60" s="64" t="s">
        <v>123</v>
      </c>
      <c r="E60" s="63">
        <v>9375</v>
      </c>
      <c r="H60" s="63">
        <v>9375</v>
      </c>
    </row>
    <row r="61" spans="3:8" x14ac:dyDescent="0.2">
      <c r="C61" s="64" t="s">
        <v>95</v>
      </c>
      <c r="D61" s="64" t="s">
        <v>123</v>
      </c>
      <c r="E61" s="63">
        <v>200</v>
      </c>
      <c r="H61" s="63">
        <v>200</v>
      </c>
    </row>
    <row r="62" spans="3:8" x14ac:dyDescent="0.2">
      <c r="E62" s="63"/>
      <c r="H62" s="63"/>
    </row>
    <row r="63" spans="3:8" x14ac:dyDescent="0.2">
      <c r="C63" s="64" t="s">
        <v>106</v>
      </c>
      <c r="D63" s="64" t="s">
        <v>124</v>
      </c>
      <c r="E63" s="63">
        <v>3850</v>
      </c>
      <c r="H63" s="63"/>
    </row>
    <row r="64" spans="3:8" x14ac:dyDescent="0.2">
      <c r="C64" s="64" t="s">
        <v>95</v>
      </c>
      <c r="D64" s="64" t="s">
        <v>124</v>
      </c>
      <c r="E64" s="63">
        <v>840</v>
      </c>
      <c r="H64" s="63"/>
    </row>
    <row r="65" spans="3:8" x14ac:dyDescent="0.2">
      <c r="C65" s="64" t="s">
        <v>100</v>
      </c>
      <c r="D65" s="64" t="s">
        <v>124</v>
      </c>
      <c r="E65" s="63">
        <v>1965</v>
      </c>
      <c r="H65" s="63"/>
    </row>
    <row r="66" spans="3:8" x14ac:dyDescent="0.2">
      <c r="C66" s="64" t="s">
        <v>101</v>
      </c>
      <c r="D66" s="64" t="s">
        <v>124</v>
      </c>
      <c r="E66" s="63">
        <v>292</v>
      </c>
      <c r="H66" s="63"/>
    </row>
    <row r="67" spans="3:8" x14ac:dyDescent="0.2">
      <c r="E67" s="63"/>
      <c r="H67" s="63"/>
    </row>
    <row r="68" spans="3:8" x14ac:dyDescent="0.2">
      <c r="C68" s="64" t="s">
        <v>86</v>
      </c>
      <c r="D68" s="64" t="s">
        <v>25</v>
      </c>
      <c r="E68" s="63">
        <v>1122.9000000000001</v>
      </c>
      <c r="F68" s="64">
        <f>50*3</f>
        <v>150</v>
      </c>
      <c r="H68" s="63">
        <f>E68+F68</f>
        <v>1272.9000000000001</v>
      </c>
    </row>
    <row r="69" spans="3:8" x14ac:dyDescent="0.2">
      <c r="C69" s="64" t="s">
        <v>126</v>
      </c>
      <c r="D69" s="64" t="s">
        <v>25</v>
      </c>
      <c r="E69" s="63">
        <v>5639.2</v>
      </c>
      <c r="F69" s="64">
        <f>620*3</f>
        <v>1860</v>
      </c>
      <c r="H69" s="63">
        <f t="shared" ref="H69:H77" si="0">E69+F69</f>
        <v>7499.2</v>
      </c>
    </row>
    <row r="70" spans="3:8" x14ac:dyDescent="0.2">
      <c r="C70" s="64" t="s">
        <v>127</v>
      </c>
      <c r="D70" s="64" t="s">
        <v>25</v>
      </c>
      <c r="E70" s="63">
        <v>312.3</v>
      </c>
      <c r="H70" s="63">
        <f t="shared" si="0"/>
        <v>312.3</v>
      </c>
    </row>
    <row r="71" spans="3:8" x14ac:dyDescent="0.2">
      <c r="C71" s="64" t="s">
        <v>128</v>
      </c>
      <c r="D71" s="64" t="s">
        <v>25</v>
      </c>
      <c r="E71" s="63">
        <v>89.38</v>
      </c>
      <c r="H71" s="63">
        <f t="shared" si="0"/>
        <v>89.38</v>
      </c>
    </row>
    <row r="72" spans="3:8" x14ac:dyDescent="0.2">
      <c r="C72" s="64" t="s">
        <v>129</v>
      </c>
      <c r="D72" s="64" t="s">
        <v>25</v>
      </c>
      <c r="E72" s="63">
        <v>20700</v>
      </c>
      <c r="F72" s="64">
        <f>2000*2</f>
        <v>4000</v>
      </c>
      <c r="H72" s="63">
        <f t="shared" si="0"/>
        <v>24700</v>
      </c>
    </row>
    <row r="73" spans="3:8" x14ac:dyDescent="0.2">
      <c r="C73" s="64" t="s">
        <v>130</v>
      </c>
      <c r="D73" s="64" t="s">
        <v>25</v>
      </c>
      <c r="E73" s="63">
        <v>135</v>
      </c>
      <c r="H73" s="63">
        <f t="shared" si="0"/>
        <v>135</v>
      </c>
    </row>
    <row r="74" spans="3:8" x14ac:dyDescent="0.2">
      <c r="C74" s="64" t="s">
        <v>131</v>
      </c>
      <c r="D74" s="64" t="s">
        <v>25</v>
      </c>
      <c r="E74" s="63">
        <v>359.95</v>
      </c>
      <c r="H74" s="63">
        <f t="shared" si="0"/>
        <v>359.95</v>
      </c>
    </row>
    <row r="75" spans="3:8" x14ac:dyDescent="0.2">
      <c r="C75" s="64" t="s">
        <v>132</v>
      </c>
      <c r="D75" s="64" t="s">
        <v>25</v>
      </c>
      <c r="E75" s="63">
        <v>4036.23</v>
      </c>
      <c r="H75" s="64">
        <f t="shared" si="0"/>
        <v>4036.23</v>
      </c>
    </row>
    <row r="76" spans="3:8" x14ac:dyDescent="0.2">
      <c r="C76" s="64" t="s">
        <v>133</v>
      </c>
      <c r="D76" s="64" t="s">
        <v>25</v>
      </c>
      <c r="E76" s="63">
        <v>2180.27</v>
      </c>
      <c r="H76" s="64">
        <f t="shared" si="0"/>
        <v>2180.27</v>
      </c>
    </row>
    <row r="77" spans="3:8" x14ac:dyDescent="0.2">
      <c r="C77" s="64" t="s">
        <v>134</v>
      </c>
      <c r="D77" s="64" t="s">
        <v>25</v>
      </c>
      <c r="E77" s="63">
        <v>1078.71</v>
      </c>
      <c r="H77" s="64">
        <f t="shared" si="0"/>
        <v>1078.71</v>
      </c>
    </row>
    <row r="78" spans="3:8" x14ac:dyDescent="0.2">
      <c r="E78" s="63"/>
    </row>
    <row r="79" spans="3:8" x14ac:dyDescent="0.2">
      <c r="C79" s="64" t="s">
        <v>136</v>
      </c>
      <c r="D79" s="64" t="s">
        <v>137</v>
      </c>
      <c r="E79" s="63">
        <v>575</v>
      </c>
      <c r="H79" s="63">
        <f>E79+F79</f>
        <v>575</v>
      </c>
    </row>
    <row r="80" spans="3:8" x14ac:dyDescent="0.2">
      <c r="C80" s="64" t="s">
        <v>138</v>
      </c>
      <c r="D80" s="64" t="s">
        <v>139</v>
      </c>
      <c r="E80" s="63">
        <v>2625</v>
      </c>
      <c r="H80" s="63">
        <f t="shared" ref="H80:H84" si="1">E80+F80</f>
        <v>2625</v>
      </c>
    </row>
    <row r="81" spans="3:8" x14ac:dyDescent="0.2">
      <c r="C81" s="64" t="s">
        <v>140</v>
      </c>
      <c r="D81" s="64" t="s">
        <v>139</v>
      </c>
      <c r="E81" s="63">
        <v>6375</v>
      </c>
      <c r="H81" s="63">
        <f t="shared" si="1"/>
        <v>6375</v>
      </c>
    </row>
    <row r="82" spans="3:8" x14ac:dyDescent="0.2">
      <c r="C82" s="64" t="s">
        <v>141</v>
      </c>
      <c r="D82" s="64" t="s">
        <v>139</v>
      </c>
      <c r="E82" s="63">
        <v>6300</v>
      </c>
      <c r="H82" s="63">
        <f t="shared" si="1"/>
        <v>6300</v>
      </c>
    </row>
    <row r="83" spans="3:8" x14ac:dyDescent="0.2">
      <c r="C83" s="64" t="s">
        <v>142</v>
      </c>
      <c r="D83" s="64" t="s">
        <v>143</v>
      </c>
      <c r="E83" s="63">
        <v>182.5</v>
      </c>
      <c r="H83" s="63">
        <f t="shared" si="1"/>
        <v>182.5</v>
      </c>
    </row>
    <row r="84" spans="3:8" x14ac:dyDescent="0.2">
      <c r="C84" s="64" t="s">
        <v>144</v>
      </c>
      <c r="D84" s="64" t="s">
        <v>137</v>
      </c>
      <c r="E84" s="63">
        <v>5139.25</v>
      </c>
      <c r="F84" s="64">
        <v>1000</v>
      </c>
      <c r="H84" s="63">
        <f t="shared" si="1"/>
        <v>6139.25</v>
      </c>
    </row>
    <row r="85" spans="3:8" x14ac:dyDescent="0.2">
      <c r="E85" s="63"/>
    </row>
    <row r="86" spans="3:8" x14ac:dyDescent="0.2">
      <c r="E86" s="63"/>
    </row>
    <row r="87" spans="3:8" x14ac:dyDescent="0.2">
      <c r="E87" s="63"/>
    </row>
    <row r="88" spans="3:8" x14ac:dyDescent="0.2">
      <c r="E88" s="63"/>
    </row>
    <row r="89" spans="3:8" x14ac:dyDescent="0.2">
      <c r="E89" s="63"/>
    </row>
    <row r="90" spans="3:8" x14ac:dyDescent="0.2">
      <c r="E90" s="63"/>
    </row>
    <row r="91" spans="3:8" x14ac:dyDescent="0.2">
      <c r="E91" s="63"/>
    </row>
    <row r="92" spans="3:8" x14ac:dyDescent="0.2">
      <c r="E92" s="63"/>
    </row>
    <row r="93" spans="3:8" x14ac:dyDescent="0.2">
      <c r="E93" s="63"/>
    </row>
    <row r="94" spans="3:8" x14ac:dyDescent="0.2">
      <c r="E94" s="63"/>
    </row>
    <row r="95" spans="3:8" x14ac:dyDescent="0.2">
      <c r="E95" s="63"/>
    </row>
    <row r="96" spans="3:8" x14ac:dyDescent="0.2">
      <c r="E96" s="63"/>
    </row>
    <row r="97" spans="5:5" x14ac:dyDescent="0.2">
      <c r="E97" s="63"/>
    </row>
    <row r="98" spans="5:5" x14ac:dyDescent="0.2">
      <c r="E98" s="63"/>
    </row>
  </sheetData>
  <mergeCells count="1">
    <mergeCell ref="G3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</dc:creator>
  <cp:lastModifiedBy>TZ</cp:lastModifiedBy>
  <cp:lastPrinted>2019-03-18T16:49:08Z</cp:lastPrinted>
  <dcterms:created xsi:type="dcterms:W3CDTF">2017-06-09T07:17:41Z</dcterms:created>
  <dcterms:modified xsi:type="dcterms:W3CDTF">2019-03-18T16:49:24Z</dcterms:modified>
</cp:coreProperties>
</file>